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fhlbb-my.sharepoint.com/personal/kelly_mcfalls_fhlbboston_com/Documents/S+I/2026/Article/LOCs/"/>
    </mc:Choice>
  </mc:AlternateContent>
  <xr:revisionPtr revIDLastSave="0" documentId="8_{CEBB2866-56C6-4D96-8B86-B9072B260979}" xr6:coauthVersionLast="47" xr6:coauthVersionMax="47" xr10:uidLastSave="{00000000-0000-0000-0000-000000000000}"/>
  <bookViews>
    <workbookView xWindow="-120" yWindow="-120" windowWidth="57840" windowHeight="23520" activeTab="1" xr2:uid="{00000000-000D-0000-FFFF-FFFF00000000}"/>
  </bookViews>
  <sheets>
    <sheet name="Start Here" sheetId="1" r:id="rId1"/>
    <sheet name="Calculator" sheetId="2" r:id="rId2"/>
    <sheet name="Chart Data" sheetId="3" r:id="rId3"/>
    <sheet name="Methodology" sheetId="4"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A26" i="3"/>
  <c r="A25" i="3"/>
  <c r="A24" i="3"/>
  <c r="A23" i="3"/>
  <c r="A22" i="3"/>
  <c r="I5" i="3"/>
  <c r="H5" i="3"/>
  <c r="G5" i="3"/>
  <c r="B34" i="2"/>
  <c r="B33" i="2"/>
  <c r="B32" i="2"/>
  <c r="B31" i="2"/>
  <c r="B22" i="2"/>
  <c r="G13" i="2" s="1"/>
  <c r="F17" i="2"/>
  <c r="B6" i="3" s="1"/>
  <c r="F16" i="2"/>
  <c r="B5" i="3" s="1"/>
  <c r="F15" i="2"/>
  <c r="B8" i="3" s="1"/>
  <c r="F14" i="2"/>
  <c r="F13" i="2"/>
  <c r="B9" i="3" s="1"/>
  <c r="G12" i="2"/>
  <c r="C10" i="3" s="1"/>
  <c r="F12" i="2"/>
  <c r="B10" i="3" s="1"/>
  <c r="G11" i="2"/>
  <c r="F11" i="2"/>
  <c r="G15" i="3" s="1"/>
  <c r="F9" i="2"/>
  <c r="G3" i="3" s="1"/>
  <c r="F7" i="2"/>
  <c r="F8" i="2" s="1"/>
  <c r="B3" i="3" s="1"/>
  <c r="G6" i="2"/>
  <c r="F6" i="2"/>
  <c r="G4" i="3" l="1"/>
  <c r="H11" i="2"/>
  <c r="D7" i="3" s="1"/>
  <c r="F10" i="2"/>
  <c r="B4" i="3" s="1"/>
  <c r="C9" i="3"/>
  <c r="H13" i="2"/>
  <c r="D9" i="3" s="1"/>
  <c r="B16" i="3"/>
  <c r="B46" i="2"/>
  <c r="B44" i="2"/>
  <c r="B7" i="3"/>
  <c r="H12" i="2"/>
  <c r="D10" i="3" s="1"/>
  <c r="C7" i="3"/>
  <c r="H6" i="2"/>
  <c r="G7" i="2"/>
  <c r="B48" i="2"/>
  <c r="H15" i="3"/>
  <c r="B47" i="2"/>
  <c r="G9" i="2"/>
  <c r="B45" i="2"/>
  <c r="G14" i="2"/>
  <c r="B15" i="3" l="1"/>
  <c r="G15" i="2"/>
  <c r="A26" i="2" s="1"/>
  <c r="H14" i="2"/>
  <c r="H7" i="2"/>
  <c r="G8" i="2"/>
  <c r="B22" i="3"/>
  <c r="D44" i="2"/>
  <c r="D22" i="3" s="1"/>
  <c r="C44" i="2"/>
  <c r="C22" i="3" s="1"/>
  <c r="B23" i="3"/>
  <c r="D45" i="2"/>
  <c r="D23" i="3" s="1"/>
  <c r="C45" i="2"/>
  <c r="C23" i="3" s="1"/>
  <c r="H3" i="3"/>
  <c r="G10" i="2"/>
  <c r="H9" i="2"/>
  <c r="I3" i="3" s="1"/>
  <c r="H4" i="3"/>
  <c r="I4" i="3" s="1"/>
  <c r="D46" i="2"/>
  <c r="D24" i="3" s="1"/>
  <c r="C46" i="2"/>
  <c r="C24" i="3" s="1"/>
  <c r="B24" i="3"/>
  <c r="B26" i="3"/>
  <c r="D48" i="2"/>
  <c r="D26" i="3" s="1"/>
  <c r="C48" i="2"/>
  <c r="C26" i="3" s="1"/>
  <c r="C47" i="2"/>
  <c r="C25" i="3" s="1"/>
  <c r="B25" i="3"/>
  <c r="D47" i="2"/>
  <c r="D25" i="3" s="1"/>
  <c r="C3" i="3" l="1"/>
  <c r="H8" i="2"/>
  <c r="D3" i="3" s="1"/>
  <c r="B17" i="3"/>
  <c r="C8" i="3"/>
  <c r="G17" i="2"/>
  <c r="H15" i="2"/>
  <c r="D8" i="3" s="1"/>
  <c r="G16" i="2"/>
  <c r="C4" i="3"/>
  <c r="H10" i="2"/>
  <c r="D4" i="3" s="1"/>
  <c r="C5" i="3" l="1"/>
  <c r="H16" i="2"/>
  <c r="D5" i="3" s="1"/>
  <c r="C6" i="3"/>
  <c r="H17" i="2"/>
  <c r="D6" i="3" s="1"/>
</calcChain>
</file>

<file path=xl/sharedStrings.xml><?xml version="1.0" encoding="utf-8"?>
<sst xmlns="http://schemas.openxmlformats.org/spreadsheetml/2006/main" count="191" uniqueCount="161">
  <si>
    <t>Fixed Balance LOC Member Calculator</t>
  </si>
  <si>
    <t>Inputs</t>
  </si>
  <si>
    <t>Value</t>
  </si>
  <si>
    <t>Notes</t>
  </si>
  <si>
    <t>Total Assets</t>
  </si>
  <si>
    <t>Call report or internal balance sheet total assets.</t>
  </si>
  <si>
    <t>Securities Released</t>
  </si>
  <si>
    <t>Earning Assets</t>
  </si>
  <si>
    <t>Used to estimate NIM impact.</t>
  </si>
  <si>
    <t>Unencumbered Liquidity</t>
  </si>
  <si>
    <t>Total Securities</t>
  </si>
  <si>
    <t>Total securities portfolio.</t>
  </si>
  <si>
    <t>Unencumbered Liquidity / Total Assets</t>
  </si>
  <si>
    <t>Current Pledged Securities for Public Deposits</t>
  </si>
  <si>
    <t>Securities currently pledged for public deposit collateral.</t>
  </si>
  <si>
    <t>Pledged Securities</t>
  </si>
  <si>
    <t>Current Unencumbered Liquidity</t>
  </si>
  <si>
    <t>Use your internal liquidity definition consistently.</t>
  </si>
  <si>
    <t>Pledged Securities / Total Securities</t>
  </si>
  <si>
    <t>Current Remaining FHLBank Borrowing Capacity</t>
  </si>
  <si>
    <t>Current remaining capacity before proposed LOC.</t>
  </si>
  <si>
    <t>Remaining Borrowing Capacity</t>
  </si>
  <si>
    <t>Current Net Interest Margin</t>
  </si>
  <si>
    <t>Enter current NIM as a percentage.</t>
  </si>
  <si>
    <t>Capital Stock Investment Requirement</t>
  </si>
  <si>
    <t>Current ROAA</t>
  </si>
  <si>
    <t>Enter current ROAA as a percentage.</t>
  </si>
  <si>
    <t>Annual LOC Cost</t>
  </si>
  <si>
    <t>Gross Incremental Income</t>
  </si>
  <si>
    <t>Maximum LOC amount requested.</t>
  </si>
  <si>
    <t>Pretax Net Interest Income Benefit</t>
  </si>
  <si>
    <t>LOC Term (years)</t>
  </si>
  <si>
    <t>Used only to select the Fixed Balance fee tier.</t>
  </si>
  <si>
    <t>Net Interest Margin</t>
  </si>
  <si>
    <t>Days Covered in Cost Estimate</t>
  </si>
  <si>
    <t>Actual/360 fee basis; 360 approximates one full year.</t>
  </si>
  <si>
    <t>Return on Average Assets</t>
  </si>
  <si>
    <t>Yield on Securities Replaced</t>
  </si>
  <si>
    <t>Yield on securities no longer held/used primarily for pledging.</t>
  </si>
  <si>
    <t>Redeployment Yield</t>
  </si>
  <si>
    <t>Yield on redeployed loans or other earning assets.</t>
  </si>
  <si>
    <t>Capital Stock Requirement Rate</t>
  </si>
  <si>
    <t>Default 25 bps of LOC amount.</t>
  </si>
  <si>
    <t>Minimum LOC Fee</t>
  </si>
  <si>
    <t>Minimum annual fee assumed from fee schedule.</t>
  </si>
  <si>
    <t>Formula-driven: 11.5 bps ≤1 year; 14.0 bps &gt;1 to ≤2 years; 18.0 bps &gt;2 years.</t>
  </si>
  <si>
    <t>Formula-driven decimal version of fee rate.</t>
  </si>
  <si>
    <t>Model Checks</t>
  </si>
  <si>
    <t>LOC amount vs. pledged securities</t>
  </si>
  <si>
    <t>LOC amount vs. remaining capacity</t>
  </si>
  <si>
    <t>Redeployment economics</t>
  </si>
  <si>
    <t>Balance sheet inputs</t>
  </si>
  <si>
    <t>This tool is illustrative and should not be used as a final approval, legal, accounting, tax, liquidity, or collateral determination.</t>
  </si>
  <si>
    <t>Actual results depend on collateral availability, beneficiary requirements, current fee schedule, legal requirements, internal policy, and member-specific balance sheet strategy.</t>
  </si>
  <si>
    <t>Only yellow cells are intended for member input. Formula cells should remain locked if this workbook is distributed as a protected template.</t>
  </si>
  <si>
    <t>Methodology, Sources, and Formula Map</t>
  </si>
  <si>
    <t>Topic</t>
  </si>
  <si>
    <t>Detail</t>
  </si>
  <si>
    <t>Product modeled</t>
  </si>
  <si>
    <t>Fee schedule used</t>
  </si>
  <si>
    <t>Capital stock</t>
  </si>
  <si>
    <t>Calculator assumes a 25 bps capital stock investment requirement on the LOC amount. This is shown separately from annual LOC cost.</t>
  </si>
  <si>
    <t>Securities released</t>
  </si>
  <si>
    <t>Minimum of proposed LOC amount and current pledged securities.</t>
  </si>
  <si>
    <t>Unencumbered liquidity after LOC</t>
  </si>
  <si>
    <t>Current unencumbered liquidity plus securities released.</t>
  </si>
  <si>
    <t>Liquidity ratio</t>
  </si>
  <si>
    <t>Unencumbered liquidity divided by total assets.</t>
  </si>
  <si>
    <t>Pledged securities after LOC</t>
  </si>
  <si>
    <t>Current pledged securities minus securities released, floored at zero.</t>
  </si>
  <si>
    <t>Pledged securities ratio</t>
  </si>
  <si>
    <t>Pledged securities divided by total securities.</t>
  </si>
  <si>
    <t>Remaining borrowing capacity after LOC</t>
  </si>
  <si>
    <t>Current remaining FHLBank borrowing capacity minus proposed LOC amount.</t>
  </si>
  <si>
    <t>Annual LOC cost</t>
  </si>
  <si>
    <t>Gross incremental income</t>
  </si>
  <si>
    <t>Securities released × (redeployment yield − replaced securities yield).</t>
  </si>
  <si>
    <t>Pretax net interest income benefit</t>
  </si>
  <si>
    <t>Gross incremental income minus annual LOC cost.</t>
  </si>
  <si>
    <t>NIM after LOC</t>
  </si>
  <si>
    <t>Current NIM plus pretax NII benefit divided by earning assets.</t>
  </si>
  <si>
    <t>ROAA after LOC</t>
  </si>
  <si>
    <t>Current ROAA plus pretax NII benefit divided by total assets.</t>
  </si>
  <si>
    <t>Limitations</t>
  </si>
  <si>
    <t>Illustrative only. Actual results depend on collateral availability, legal and municipal requirements, beneficiary approval, member eligibility, current product guide and fee schedule, public deposit balances, tax treatment, capital position, liquidity policy, and the member’s redeployment options.</t>
  </si>
  <si>
    <t>FHLBank Boston Fixed Balance LOC Calculator</t>
  </si>
  <si>
    <t>Start here</t>
  </si>
  <si>
    <t>Use this workbook as an illustrative planning tool.</t>
  </si>
  <si>
    <t>What to gather before you start</t>
  </si>
  <si>
    <t>Step</t>
  </si>
  <si>
    <t>Input category</t>
  </si>
  <si>
    <t>Gather</t>
  </si>
  <si>
    <t>Why it matters</t>
  </si>
  <si>
    <t>Total assets, earning assets, total securities, pledged securities used for public deposits, unencumbered liquidity, and current remaining FHLBank Boston borrowing capacity.</t>
  </si>
  <si>
    <t>Drives the liquidity, collateral, and borrowing-capacity impact.</t>
  </si>
  <si>
    <t>Proposed LOC assumptions</t>
  </si>
  <si>
    <t>Determines the LOC amount, fee tier, annual LOC cost, and capacity used.</t>
  </si>
  <si>
    <t>Policy/legal considerations</t>
  </si>
  <si>
    <t>Public depositor requirements, state or municipal rules, collateral availability, internal policy limits, and capital stock position.</t>
  </si>
  <si>
    <t>Helps confirm whether the structure fits the relationship and internal requirements.</t>
  </si>
  <si>
    <t>How to use it</t>
  </si>
  <si>
    <t>Action</t>
  </si>
  <si>
    <t>Details</t>
  </si>
  <si>
    <t>Output to review</t>
  </si>
  <si>
    <t>Step 1</t>
  </si>
  <si>
    <t>Go to the Calculator tab.</t>
  </si>
  <si>
    <t>Edit only the yellow input cells. Inputs are grouped by current balance sheet position, proposed LOC assumptions, yields, and starting performance.</t>
  </si>
  <si>
    <t>The model updates automatically.</t>
  </si>
  <si>
    <t>Step 2</t>
  </si>
  <si>
    <t>Review the Key Outputs box.</t>
  </si>
  <si>
    <t>Focus on securities released, unencumbered liquidity, annual LOC cost, capital stock investment, remaining borrowing capacity, and pretax NII benefit.</t>
  </si>
  <si>
    <t>Use the outputs as discussion points, not as a final recommendation.</t>
  </si>
  <si>
    <t>Step 3</t>
  </si>
  <si>
    <t>Review the Model Checks.</t>
  </si>
  <si>
    <t>If a check says “Review,” revisit the input assumptions before sharing the output.</t>
  </si>
  <si>
    <t>This helps catch inputs that may be inconsistent with the example structure.</t>
  </si>
  <si>
    <t>Step 4</t>
  </si>
  <si>
    <t>Use the charts and sensitivity table as discussion tools.</t>
  </si>
  <si>
    <t>The charts show liquidity impact, securities portfolio flexibility, borrowing capacity tradeoff, earnings bridge, and NIM/ROAA impact.</t>
  </si>
  <si>
    <t>The sensitivity table shows how the potential earnings impact changes with redeployment yield.</t>
  </si>
  <si>
    <t>Important scope notes</t>
  </si>
  <si>
    <t>Important limitation</t>
  </si>
  <si>
    <t>The workbook is for illustrative planning only. It does not determine eligibility, collateral sufficiency, legal permissibility, depositor acceptance, final pricing, or required approvals.</t>
  </si>
  <si>
    <t>Best use</t>
  </si>
  <si>
    <t>Use the workbook as a conversation starter with Treasury, Finance, Operations, Legal, and your FHLBank Boston relationship manager.</t>
  </si>
  <si>
    <t>Fixed Balance focus</t>
  </si>
  <si>
    <t>Edit yellow cells only. Outputs update automatically. Use the model checks, charts, and sensitivity table as discussion tools. This workbook is illustrative and should be reviewed with FHLBank Boston and the member’s advisors.</t>
  </si>
  <si>
    <t>Member inputs are in yellow. Formula cells are not intended for editing.</t>
  </si>
  <si>
    <t>Key Outputs</t>
  </si>
  <si>
    <t>Before</t>
  </si>
  <si>
    <t>Change</t>
  </si>
  <si>
    <t>Scenario Sensitivity: Redeployment Yield</t>
  </si>
  <si>
    <t>Pretax NII Benefit</t>
  </si>
  <si>
    <t>NIM After</t>
  </si>
  <si>
    <t>ROAA After</t>
  </si>
  <si>
    <t>This sensitivity holds the proposed LOC amount, securities yield, LOC fee, and balance sheet assumptions constant. It only changes the redeployment yield.</t>
  </si>
  <si>
    <t>Charts</t>
  </si>
  <si>
    <t>Securities Portfolio Flexibility</t>
  </si>
  <si>
    <t>Metric</t>
  </si>
  <si>
    <t>Current Position</t>
  </si>
  <si>
    <t>Category</t>
  </si>
  <si>
    <t>Unpledged Securities</t>
  </si>
  <si>
    <t>Illustrative Pretax Income Impact</t>
  </si>
  <si>
    <t>Component</t>
  </si>
  <si>
    <t>Amount</t>
  </si>
  <si>
    <t>Sensitivity to Redeployment Yield</t>
  </si>
  <si>
    <t>Narrative Summary (updates based on inputs)</t>
  </si>
  <si>
    <t>How to read the sensitivity table</t>
  </si>
  <si>
    <t>Note: This calculator assumes the LOC is supported by existing eligible FHLBank Boston collateral capacity. If securities released from a public deposit pledge are repledged to FHLBank Boston to support the LOC, they may not become fully unencumbered, and the liquidity and capacity impact may differ.</t>
  </si>
  <si>
    <t>With FHLBank Boston LOC</t>
  </si>
  <si>
    <t>Member-use guide for estimating how a Fixed Balance LOC example may affect liquidity, borrowing capacity, and earnings when used to support public deposit collateral needs.</t>
  </si>
  <si>
    <t>This workbook is designed around a Fixed Balance LOC example for public deposit collateral. The broader collateral strategy may also apply to other public deposit LOC structures, but pricing, balance treatment, and administrative requirements vary by product.</t>
  </si>
  <si>
    <t>Proposed LOC amount, expected term, days used for the cost estimate, and fee/cost assumption.</t>
  </si>
  <si>
    <t>This workbook uses a Fixed Balance LOC example. For Variable Balance or Refundable Balance LOCs, members may use the tool directionally by adjusting the fee/cost assumption, but the workbook does not model product-specific billing, refund, or certification mechanics.</t>
  </si>
  <si>
    <t>Proposed LOC Amount</t>
  </si>
  <si>
    <t>LOC Fee Rate / Effective Cost Estimate (bps)</t>
  </si>
  <si>
    <t>LOC Fee Rate / Effective Cost Estimate</t>
  </si>
  <si>
    <t>With LOC</t>
  </si>
  <si>
    <t>Fixed Balance public deposit LOC example. Other public deposit LOC structures may be evaluated directionally by adjusting the fee/cost assumption, but this workbook does not model product-specific billing, refund, balance-certification, or administrative mechanics.</t>
  </si>
  <si>
    <t>Fixed Balance public deposit LOC fee schedule used as the default example: 11.5 bps for terms ≤1 year, 14.0 bps for &gt;1 and ≤2 years, and 18.0 bps for &gt;2 years, subject to the applicable minimum fee. For other public deposit LOC structures, users should enter an estimated effective annual fee/cost assumption.</t>
  </si>
  <si>
    <t>Greater of minimum LOC fee and proposed LOC amount × LOC fee/effective cost estimate × days covered ÷ 360. For Fixed Balance LOCs, the default fee rate is based on the Fixed Balance fee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</si>
</sst>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3">
    <font>
      <sz val="11"/>
      <name val="Carlito"/>
    </font>
    <font>
      <sz val="10"/>
      <name val="Arial"/>
      <family val="2"/>
    </font>
    <font>
      <b/>
      <sz val="18"/>
      <color rgb="FFFFFFFF"/>
      <name val="Arial"/>
      <family val="2"/>
    </font>
    <font>
      <i/>
      <sz val="11"/>
      <color rgb="FF1F2937"/>
      <name val="Carlito"/>
    </font>
    <font>
      <b/>
      <sz val="11"/>
      <color rgb="FFFFFFFF"/>
      <name val="Carlito"/>
    </font>
    <font>
      <b/>
      <sz val="14"/>
      <color rgb="FF00843D"/>
      <name val="Carlito"/>
    </font>
    <font>
      <b/>
      <sz val="14"/>
      <color rgb="FFFFFFFF"/>
      <name val="Carlito"/>
    </font>
    <font>
      <b/>
      <sz val="12"/>
      <color rgb="FF00843D"/>
      <name val="Carlito"/>
    </font>
    <font>
      <b/>
      <sz val="11"/>
      <name val="Carlito"/>
    </font>
    <font>
      <sz val="9"/>
      <color rgb="FF4B5563"/>
      <name val="Carlito"/>
    </font>
    <font>
      <i/>
      <sz val="11"/>
      <name val="Carlito"/>
    </font>
    <font>
      <b/>
      <sz val="11"/>
      <color rgb="FF00843D"/>
      <name val="Carlito"/>
    </font>
    <font>
      <b/>
      <sz val="16"/>
      <color rgb="FFFFFFFF"/>
      <name val="Arial"/>
      <family val="2"/>
    </font>
    <font>
      <i/>
      <sz val="11"/>
      <color rgb="FF374151"/>
      <name val="Carlito"/>
    </font>
    <font>
      <b/>
      <sz val="9"/>
      <color rgb="FFFFFFFF"/>
      <name val="Carlito"/>
    </font>
    <font>
      <i/>
      <sz val="10"/>
      <color rgb="FF374151"/>
      <name val="Carlito"/>
    </font>
    <font>
      <sz val="11"/>
      <color rgb="FF374151"/>
      <name val="Carlito"/>
    </font>
    <font>
      <b/>
      <sz val="12"/>
      <color rgb="FFFFFFFF"/>
      <name val="Arial"/>
      <family val="2"/>
    </font>
    <font>
      <b/>
      <sz val="12"/>
      <color rgb="FFFFFFFF"/>
      <name val="Carlito"/>
    </font>
    <font>
      <i/>
      <sz val="10"/>
      <color rgb="FF1F1F1F"/>
      <name val="Carlito"/>
    </font>
    <font>
      <sz val="10"/>
      <color rgb="FF000000"/>
      <name val="Carlito"/>
    </font>
    <font>
      <b/>
      <sz val="10"/>
      <color rgb="FF1F4E79"/>
      <name val="Carlito"/>
    </font>
    <font>
      <b/>
      <sz val="10"/>
      <color rgb="FF000000"/>
      <name val="Carlito"/>
    </font>
  </fonts>
  <fills count="18">
    <fill>
      <patternFill patternType="none"/>
    </fill>
    <fill>
      <patternFill patternType="gray125"/>
    </fill>
    <fill>
      <patternFill patternType="solid">
        <fgColor rgb="FF00843D"/>
      </patternFill>
    </fill>
    <fill>
      <patternFill patternType="solid">
        <fgColor rgb="FFE8F5EE"/>
      </patternFill>
    </fill>
    <fill>
      <patternFill patternType="solid">
        <fgColor rgb="FF1F4E79"/>
      </patternFill>
    </fill>
    <fill>
      <patternFill patternType="solid">
        <fgColor rgb="FFF3F4F6"/>
      </patternFill>
    </fill>
    <fill>
      <patternFill patternType="solid">
        <fgColor rgb="FF00843D"/>
      </patternFill>
    </fill>
    <fill>
      <patternFill patternType="solid">
        <fgColor rgb="FFFFFFFF"/>
      </patternFill>
    </fill>
    <fill>
      <patternFill patternType="solid">
        <fgColor rgb="FF1F4E79"/>
      </patternFill>
    </fill>
    <fill>
      <patternFill patternType="solid">
        <fgColor rgb="FFE2F0D9"/>
      </patternFill>
    </fill>
    <fill>
      <patternFill patternType="solid">
        <fgColor rgb="FFFFF2CC"/>
      </patternFill>
    </fill>
    <fill>
      <patternFill patternType="solid">
        <fgColor rgb="FF00843D"/>
      </patternFill>
    </fill>
    <fill>
      <patternFill patternType="solid">
        <fgColor rgb="FF1F4E79"/>
      </patternFill>
    </fill>
    <fill>
      <patternFill patternType="solid">
        <fgColor rgb="FFFFFFFF"/>
      </patternFill>
    </fill>
    <fill>
      <patternFill patternType="solid">
        <fgColor rgb="FFD9EAF7"/>
      </patternFill>
    </fill>
    <fill>
      <patternFill patternType="solid">
        <fgColor rgb="FFF3F6F8"/>
      </patternFill>
    </fill>
    <fill>
      <patternFill patternType="solid">
        <fgColor theme="9" tint="0.39997558519241921"/>
        <bgColor indexed="64"/>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xf numFmtId="0" fontId="0" fillId="0" borderId="0" xfId="0" applyAlignment="1">
      <alignment vertical="top" wrapText="1"/>
    </xf>
    <xf numFmtId="0" fontId="4" fillId="4" borderId="0" xfId="0" applyFont="1" applyFill="1" applyAlignment="1">
      <alignment horizontal="center"/>
    </xf>
    <xf numFmtId="0" fontId="8" fillId="5" borderId="0" xfId="0" applyFont="1" applyFill="1" applyAlignment="1">
      <alignment vertical="top" wrapText="1"/>
    </xf>
    <xf numFmtId="0" fontId="2" fillId="2" borderId="0" xfId="0" applyFont="1" applyFill="1" applyAlignment="1">
      <alignment horizontal="left" vertical="center"/>
    </xf>
    <xf numFmtId="0" fontId="3" fillId="3" borderId="0" xfId="0" applyFont="1" applyFill="1" applyAlignment="1">
      <alignment wrapText="1"/>
    </xf>
    <xf numFmtId="0" fontId="5" fillId="0" borderId="0" xfId="0" applyFont="1"/>
    <xf numFmtId="0" fontId="7" fillId="0" borderId="0" xfId="0" applyFont="1"/>
    <xf numFmtId="0" fontId="9" fillId="0" borderId="0" xfId="0" applyFont="1" applyAlignment="1">
      <alignment wrapText="1"/>
    </xf>
    <xf numFmtId="0" fontId="4" fillId="8" borderId="0" xfId="0" applyFont="1" applyFill="1" applyAlignment="1">
      <alignment vertical="top" wrapText="1"/>
    </xf>
    <xf numFmtId="0" fontId="0" fillId="9" borderId="0" xfId="0" applyFill="1" applyAlignment="1">
      <alignment vertical="top" wrapText="1"/>
    </xf>
    <xf numFmtId="0" fontId="4" fillId="6" borderId="0" xfId="0" applyFont="1" applyFill="1" applyAlignment="1">
      <alignment vertical="top" wrapText="1"/>
    </xf>
    <xf numFmtId="10" fontId="0" fillId="0" borderId="0" xfId="0" applyNumberFormat="1" applyAlignment="1">
      <alignment vertical="top" wrapText="1"/>
    </xf>
    <xf numFmtId="164" fontId="0" fillId="0" borderId="0" xfId="0" applyNumberFormat="1" applyAlignment="1">
      <alignment vertical="top" wrapText="1"/>
    </xf>
    <xf numFmtId="10" fontId="8" fillId="5" borderId="0" xfId="0" applyNumberFormat="1" applyFont="1" applyFill="1" applyAlignment="1">
      <alignment vertical="top" wrapText="1"/>
    </xf>
    <xf numFmtId="0" fontId="4" fillId="6" borderId="0" xfId="0" applyFont="1" applyFill="1" applyAlignment="1">
      <alignment horizontal="center" vertical="top" wrapText="1"/>
    </xf>
    <xf numFmtId="0" fontId="4" fillId="8" borderId="0" xfId="0" applyFont="1" applyFill="1" applyAlignment="1">
      <alignment horizontal="center" vertical="top" wrapText="1"/>
    </xf>
    <xf numFmtId="0" fontId="8" fillId="5" borderId="1" xfId="0" applyFont="1" applyFill="1" applyBorder="1" applyAlignment="1">
      <alignment vertical="top" wrapText="1"/>
    </xf>
    <xf numFmtId="0" fontId="9" fillId="0" borderId="1" xfId="0" applyFont="1" applyBorder="1" applyAlignment="1">
      <alignment vertical="top" wrapText="1"/>
    </xf>
    <xf numFmtId="164" fontId="0" fillId="0" borderId="1" xfId="0" applyNumberFormat="1" applyBorder="1" applyAlignment="1">
      <alignment horizontal="right" vertical="top" wrapText="1"/>
    </xf>
    <xf numFmtId="10" fontId="0" fillId="0" borderId="1" xfId="0" applyNumberFormat="1" applyBorder="1" applyAlignment="1">
      <alignment horizontal="right" vertical="top" wrapText="1"/>
    </xf>
    <xf numFmtId="0" fontId="1" fillId="0" borderId="0" xfId="0" applyFont="1" applyAlignment="1">
      <alignment vertical="top" wrapText="1"/>
    </xf>
    <xf numFmtId="0" fontId="4" fillId="12" borderId="0" xfId="0" applyFont="1" applyFill="1" applyAlignment="1">
      <alignment horizontal="left" vertical="center" wrapText="1"/>
    </xf>
    <xf numFmtId="0" fontId="4" fillId="11" borderId="0" xfId="0" applyFont="1" applyFill="1" applyAlignment="1">
      <alignment horizontal="center" vertical="center" wrapText="1"/>
    </xf>
    <xf numFmtId="0" fontId="0" fillId="13" borderId="0" xfId="0" applyFill="1" applyAlignment="1">
      <alignment vertical="top" wrapText="1"/>
    </xf>
    <xf numFmtId="0" fontId="6" fillId="11" borderId="0" xfId="0" applyFont="1" applyFill="1" applyAlignment="1">
      <alignment horizontal="center" vertical="center" wrapText="1"/>
    </xf>
    <xf numFmtId="0" fontId="4" fillId="13" borderId="0" xfId="0" applyFont="1" applyFill="1" applyAlignment="1">
      <alignment vertical="top" wrapText="1"/>
    </xf>
    <xf numFmtId="0" fontId="0" fillId="13" borderId="0" xfId="0" applyFill="1" applyAlignment="1">
      <alignment wrapText="1"/>
    </xf>
    <xf numFmtId="0" fontId="6" fillId="13" borderId="0" xfId="0" applyFont="1" applyFill="1" applyAlignment="1">
      <alignment horizontal="center" vertical="top" wrapText="1"/>
    </xf>
    <xf numFmtId="0" fontId="14" fillId="13" borderId="0" xfId="0" applyFont="1" applyFill="1" applyAlignment="1">
      <alignment vertical="center" wrapText="1"/>
    </xf>
    <xf numFmtId="0" fontId="20" fillId="13" borderId="0" xfId="0" applyFont="1" applyFill="1" applyAlignment="1">
      <alignment horizontal="left" vertical="top" wrapText="1"/>
    </xf>
    <xf numFmtId="0" fontId="21" fillId="14" borderId="0" xfId="0" applyFont="1" applyFill="1" applyAlignment="1">
      <alignment horizontal="center" vertical="center" wrapText="1"/>
    </xf>
    <xf numFmtId="0" fontId="22" fillId="13" borderId="0" xfId="0" applyFont="1" applyFill="1" applyAlignment="1">
      <alignment horizontal="left" vertical="top" wrapText="1"/>
    </xf>
    <xf numFmtId="0" fontId="21" fillId="15" borderId="0" xfId="0" applyFont="1" applyFill="1" applyAlignment="1">
      <alignment horizontal="left" vertical="top" wrapText="1"/>
    </xf>
    <xf numFmtId="0" fontId="4" fillId="0" borderId="0" xfId="0" applyFont="1" applyAlignment="1">
      <alignment horizontal="left" vertical="center" wrapText="1"/>
    </xf>
    <xf numFmtId="0" fontId="22" fillId="13" borderId="0" xfId="0" applyFont="1" applyFill="1" applyAlignment="1">
      <alignment horizontal="left" vertical="center" wrapText="1"/>
    </xf>
    <xf numFmtId="0" fontId="20" fillId="13" borderId="0" xfId="0" applyFont="1" applyFill="1" applyAlignment="1">
      <alignment horizontal="left" vertical="center" wrapText="1"/>
    </xf>
    <xf numFmtId="0" fontId="4" fillId="16" borderId="0" xfId="0" applyFont="1" applyFill="1" applyAlignment="1">
      <alignment horizontal="left" vertical="center" wrapText="1"/>
    </xf>
    <xf numFmtId="0" fontId="4" fillId="17" borderId="0" xfId="0" applyFont="1" applyFill="1" applyAlignment="1">
      <alignment horizontal="left" vertical="center" wrapText="1"/>
    </xf>
    <xf numFmtId="10" fontId="0" fillId="0" borderId="0" xfId="0" applyNumberFormat="1" applyAlignment="1">
      <alignment horizontal="center" vertical="top" wrapText="1"/>
    </xf>
    <xf numFmtId="164" fontId="0" fillId="0" borderId="0" xfId="0" applyNumberFormat="1" applyAlignment="1">
      <alignment horizontal="center" vertical="top" wrapText="1"/>
    </xf>
    <xf numFmtId="0" fontId="9" fillId="0" borderId="0" xfId="0" applyFont="1" applyAlignment="1">
      <alignment vertical="top" wrapText="1"/>
    </xf>
    <xf numFmtId="0" fontId="9" fillId="0" borderId="0" xfId="0" applyFont="1" applyAlignment="1">
      <alignment vertical="top"/>
    </xf>
    <xf numFmtId="164" fontId="0" fillId="10" borderId="1" xfId="0" applyNumberFormat="1" applyFill="1" applyBorder="1" applyAlignment="1" applyProtection="1">
      <alignment vertical="top" wrapText="1"/>
      <protection locked="0"/>
    </xf>
    <xf numFmtId="10" fontId="0" fillId="10" borderId="1" xfId="0" applyNumberFormat="1" applyFill="1" applyBorder="1" applyAlignment="1" applyProtection="1">
      <alignment vertical="top" wrapText="1"/>
      <protection locked="0"/>
    </xf>
    <xf numFmtId="0" fontId="0" fillId="10" borderId="1" xfId="0" applyFill="1" applyBorder="1" applyAlignment="1" applyProtection="1">
      <alignment vertical="top" wrapText="1"/>
      <protection locked="0"/>
    </xf>
    <xf numFmtId="1" fontId="0" fillId="10" borderId="1" xfId="0" applyNumberFormat="1" applyFill="1" applyBorder="1" applyAlignment="1" applyProtection="1">
      <alignment vertical="top" wrapText="1"/>
      <protection locked="0"/>
    </xf>
    <xf numFmtId="165" fontId="10" fillId="10" borderId="1" xfId="0" applyNumberFormat="1" applyFont="1" applyFill="1" applyBorder="1" applyAlignment="1" applyProtection="1">
      <alignment vertical="top" wrapText="1"/>
      <protection locked="0"/>
    </xf>
    <xf numFmtId="10" fontId="10" fillId="10" borderId="1" xfId="0" applyNumberFormat="1" applyFont="1" applyFill="1" applyBorder="1" applyAlignment="1" applyProtection="1">
      <alignment vertical="top" wrapText="1"/>
      <protection locked="0"/>
    </xf>
    <xf numFmtId="0" fontId="4" fillId="8" borderId="0" xfId="0" applyFont="1" applyFill="1" applyAlignment="1">
      <alignment vertical="top" wrapText="1"/>
    </xf>
    <xf numFmtId="0" fontId="11" fillId="0" borderId="0" xfId="0" applyFont="1" applyAlignment="1">
      <alignment vertical="top" wrapText="1"/>
    </xf>
    <xf numFmtId="0" fontId="9" fillId="0" borderId="0" xfId="0" applyFont="1" applyAlignment="1">
      <alignment vertical="top" wrapText="1"/>
    </xf>
    <xf numFmtId="0" fontId="12" fillId="6" borderId="0" xfId="0" applyFont="1" applyFill="1" applyAlignment="1">
      <alignment vertical="top" wrapText="1"/>
    </xf>
    <xf numFmtId="0" fontId="15" fillId="7" borderId="0" xfId="0" applyFont="1" applyFill="1" applyAlignment="1">
      <alignment vertical="top" wrapText="1"/>
    </xf>
    <xf numFmtId="0" fontId="3" fillId="3" borderId="0" xfId="0" applyFont="1" applyFill="1" applyAlignment="1">
      <alignment vertical="top" wrapText="1"/>
    </xf>
    <xf numFmtId="0" fontId="4" fillId="6" borderId="0" xfId="0" applyFont="1" applyFill="1" applyAlignment="1">
      <alignment horizontal="left" vertical="top" wrapText="1"/>
    </xf>
    <xf numFmtId="0" fontId="16" fillId="7" borderId="0" xfId="0" applyFont="1" applyFill="1" applyAlignment="1">
      <alignment vertical="top" wrapText="1"/>
    </xf>
    <xf numFmtId="0" fontId="0" fillId="3" borderId="0" xfId="0" applyFill="1" applyAlignment="1">
      <alignment vertical="top" wrapText="1"/>
    </xf>
    <xf numFmtId="0" fontId="4" fillId="4" borderId="0" xfId="0" applyFont="1" applyFill="1" applyAlignment="1">
      <alignment vertical="top" wrapText="1"/>
    </xf>
    <xf numFmtId="0" fontId="13" fillId="9" borderId="0" xfId="0" applyFont="1" applyFill="1" applyAlignment="1">
      <alignment vertical="top" wrapText="1"/>
    </xf>
    <xf numFmtId="0" fontId="0" fillId="0" borderId="0" xfId="0" applyAlignment="1">
      <alignment vertical="top" wrapText="1"/>
    </xf>
    <xf numFmtId="0" fontId="14" fillId="12" borderId="0" xfId="0" applyFont="1" applyFill="1" applyAlignment="1">
      <alignment horizontal="left" vertical="center" wrapText="1"/>
    </xf>
    <xf numFmtId="0" fontId="20" fillId="13" borderId="0" xfId="0" applyFont="1" applyFill="1" applyAlignment="1">
      <alignment horizontal="left" vertical="top" wrapText="1"/>
    </xf>
    <xf numFmtId="0" fontId="12" fillId="11" borderId="0" xfId="0" applyFont="1" applyFill="1" applyAlignment="1">
      <alignment horizontal="left" vertical="center" wrapText="1"/>
    </xf>
    <xf numFmtId="0" fontId="19" fillId="7" borderId="0" xfId="0" applyFont="1" applyFill="1" applyAlignment="1">
      <alignment horizontal="left" vertical="center" wrapText="1"/>
    </xf>
    <xf numFmtId="0" fontId="19" fillId="3" borderId="0" xfId="0" applyFont="1" applyFill="1" applyAlignment="1">
      <alignment horizontal="left" vertical="center" wrapText="1"/>
    </xf>
    <xf numFmtId="0" fontId="4" fillId="12" borderId="0" xfId="0" applyFont="1" applyFill="1" applyAlignment="1">
      <alignment horizontal="left" vertical="center" wrapText="1"/>
    </xf>
    <xf numFmtId="0" fontId="18" fillId="12" borderId="0" xfId="0" applyFont="1" applyFill="1" applyAlignment="1">
      <alignment horizontal="left" vertical="center" wrapText="1"/>
    </xf>
    <xf numFmtId="0" fontId="17" fillId="6" borderId="0" xfId="0" applyFont="1" applyFill="1" applyAlignment="1">
      <alignment vertical="top" wrapText="1"/>
    </xf>
    <xf numFmtId="0" fontId="18" fillId="6" borderId="0" xfId="0" applyFont="1" applyFill="1" applyAlignment="1">
      <alignment vertical="top" wrapText="1"/>
    </xf>
    <xf numFmtId="0" fontId="12" fillId="2" borderId="0" xfId="0" applyFont="1" applyFill="1"/>
  </cellXfs>
  <cellStyles count="1">
    <cellStyle name="Normal" xfId="0" builtinId="0"/>
  </cellStyles>
  <dxfs count="2">
    <dxf>
      <font>
        <b/>
        <color rgb="FF166534"/>
      </font>
      <fill>
        <patternFill>
          <bgColor rgb="FFDCFCE7"/>
        </patternFill>
      </fill>
    </dxf>
    <dxf>
      <font>
        <b/>
        <color rgb="FFB91C1C"/>
      </font>
      <fill>
        <patternFill>
          <b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a:pPr>
            <a:r>
              <a:rPr lang="en-US" sz="1000" b="1" i="0" u="none" strike="noStrike" baseline="0"/>
              <a:t>Liquidity and Pledged Securities Impact</a:t>
            </a:r>
            <a:endParaRPr lang="en-US"/>
          </a:p>
        </c:rich>
      </c:tx>
      <c:overlay val="0"/>
    </c:title>
    <c:autoTitleDeleted val="0"/>
    <c:plotArea>
      <c:layout/>
      <c:barChart>
        <c:barDir val="col"/>
        <c:grouping val="clustered"/>
        <c:varyColors val="0"/>
        <c:ser>
          <c:idx val="0"/>
          <c:order val="0"/>
          <c:tx>
            <c:v>Current Position</c:v>
          </c:tx>
          <c:invertIfNegative val="1"/>
          <c:dLbls>
            <c:spPr>
              <a:noFill/>
              <a:ln>
                <a:noFill/>
              </a:ln>
              <a:effectLst/>
            </c:spPr>
            <c:txPr>
              <a:bodyPr wrap="square" lIns="38100" tIns="19050" rIns="38100" bIns="19050" anchor="ctr">
                <a:spAutoFit/>
              </a:bodyPr>
              <a:lstStyle/>
              <a:p>
                <a:pPr>
                  <a:defRPr b="1">
                    <a:solidFill>
                      <a:schemeClr val="accent1"/>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Data'!$A$3:$A$4</c:f>
              <c:strCache>
                <c:ptCount val="2"/>
                <c:pt idx="0">
                  <c:v>Unencumbered Liquidity / Total Assets</c:v>
                </c:pt>
                <c:pt idx="1">
                  <c:v>Pledged Securities / Total Securities</c:v>
                </c:pt>
              </c:strCache>
            </c:strRef>
          </c:cat>
          <c:val>
            <c:numRef>
              <c:f>'Chart Data'!$B$3:$B$4</c:f>
              <c:numCache>
                <c:formatCode>0.00%</c:formatCode>
                <c:ptCount val="2"/>
                <c:pt idx="0">
                  <c:v>0.1</c:v>
                </c:pt>
                <c:pt idx="1">
                  <c:v>0.4</c:v>
                </c:pt>
              </c:numCache>
            </c:numRef>
          </c:val>
          <c:extLst>
            <c:ext xmlns:c16="http://schemas.microsoft.com/office/drawing/2014/chart" uri="{C3380CC4-5D6E-409C-BE32-E72D297353CC}">
              <c16:uniqueId val="{00000000-A04A-4EB9-ABB0-104596EF520A}"/>
            </c:ext>
          </c:extLst>
        </c:ser>
        <c:ser>
          <c:idx val="1"/>
          <c:order val="1"/>
          <c:tx>
            <c:v>With Fixed Balance LOC</c:v>
          </c:tx>
          <c:invertIfNegative val="1"/>
          <c:dLbls>
            <c:spPr>
              <a:noFill/>
              <a:ln>
                <a:noFill/>
              </a:ln>
              <a:effectLst/>
            </c:spPr>
            <c:txPr>
              <a:bodyPr wrap="square" lIns="38100" tIns="19050" rIns="38100" bIns="19050" anchor="ctr">
                <a:spAutoFit/>
              </a:bodyPr>
              <a:lstStyle/>
              <a:p>
                <a:pPr>
                  <a:defRPr b="1">
                    <a:solidFill>
                      <a:schemeClr val="accent2"/>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Data'!$A$3:$A$4</c:f>
              <c:strCache>
                <c:ptCount val="2"/>
                <c:pt idx="0">
                  <c:v>Unencumbered Liquidity / Total Assets</c:v>
                </c:pt>
                <c:pt idx="1">
                  <c:v>Pledged Securities / Total Securities</c:v>
                </c:pt>
              </c:strCache>
            </c:strRef>
          </c:cat>
          <c:val>
            <c:numRef>
              <c:f>'Chart Data'!$C$3:$C$4</c:f>
              <c:numCache>
                <c:formatCode>0.00%</c:formatCode>
                <c:ptCount val="2"/>
                <c:pt idx="0">
                  <c:v>0.125</c:v>
                </c:pt>
                <c:pt idx="1">
                  <c:v>0.27500000000000002</c:v>
                </c:pt>
              </c:numCache>
            </c:numRef>
          </c:val>
          <c:extLst>
            <c:ext xmlns:c16="http://schemas.microsoft.com/office/drawing/2014/chart" uri="{C3380CC4-5D6E-409C-BE32-E72D297353CC}">
              <c16:uniqueId val="{00000001-A04A-4EB9-ABB0-104596EF520A}"/>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0%" sourceLinked="0"/>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a:pPr>
            <a:r>
              <a:rPr lang="en-US" sz="1000" b="1" i="0" u="none" strike="noStrike" baseline="0"/>
              <a:t>Securities Portfolio Flexibility</a:t>
            </a:r>
            <a:endParaRPr lang="en-US"/>
          </a:p>
        </c:rich>
      </c:tx>
      <c:overlay val="0"/>
    </c:title>
    <c:autoTitleDeleted val="0"/>
    <c:plotArea>
      <c:layout/>
      <c:barChart>
        <c:barDir val="col"/>
        <c:grouping val="clustered"/>
        <c:varyColors val="0"/>
        <c:ser>
          <c:idx val="0"/>
          <c:order val="0"/>
          <c:tx>
            <c:v>Pledged Securities</c:v>
          </c:tx>
          <c:invertIfNegative val="1"/>
          <c:dLbls>
            <c:spPr>
              <a:noFill/>
              <a:ln>
                <a:noFill/>
              </a:ln>
              <a:effectLst/>
            </c:spPr>
            <c:txPr>
              <a:bodyPr wrap="square" lIns="38100" tIns="19050" rIns="38100" bIns="19050" anchor="ctr">
                <a:spAutoFit/>
              </a:bodyPr>
              <a:lstStyle/>
              <a:p>
                <a:pPr>
                  <a:defRPr b="1">
                    <a:solidFill>
                      <a:schemeClr val="accent1"/>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Data'!$G$2:$H$2</c:f>
              <c:strCache>
                <c:ptCount val="2"/>
                <c:pt idx="0">
                  <c:v>Current Position</c:v>
                </c:pt>
                <c:pt idx="1">
                  <c:v>With LOC</c:v>
                </c:pt>
              </c:strCache>
            </c:strRef>
          </c:cat>
          <c:val>
            <c:numRef>
              <c:f>'Chart Data'!$G$3:$H$3</c:f>
              <c:numCache>
                <c:formatCode>\$#,##0</c:formatCode>
                <c:ptCount val="2"/>
                <c:pt idx="0">
                  <c:v>80000000</c:v>
                </c:pt>
                <c:pt idx="1">
                  <c:v>55000000</c:v>
                </c:pt>
              </c:numCache>
            </c:numRef>
          </c:val>
          <c:extLst>
            <c:ext xmlns:c16="http://schemas.microsoft.com/office/drawing/2014/chart" uri="{C3380CC4-5D6E-409C-BE32-E72D297353CC}">
              <c16:uniqueId val="{00000000-B09F-4070-A669-410F165597D7}"/>
            </c:ext>
          </c:extLst>
        </c:ser>
        <c:ser>
          <c:idx val="1"/>
          <c:order val="1"/>
          <c:tx>
            <c:v>Unpledged Securities</c:v>
          </c:tx>
          <c:invertIfNegative val="1"/>
          <c:dLbls>
            <c:spPr>
              <a:noFill/>
              <a:ln>
                <a:noFill/>
              </a:ln>
              <a:effectLst/>
            </c:spPr>
            <c:txPr>
              <a:bodyPr wrap="square" lIns="38100" tIns="19050" rIns="38100" bIns="19050" anchor="ctr">
                <a:spAutoFit/>
              </a:bodyPr>
              <a:lstStyle/>
              <a:p>
                <a:pPr>
                  <a:defRPr b="1">
                    <a:solidFill>
                      <a:schemeClr val="accent2"/>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Data'!$G$2:$H$2</c:f>
              <c:strCache>
                <c:ptCount val="2"/>
                <c:pt idx="0">
                  <c:v>Current Position</c:v>
                </c:pt>
                <c:pt idx="1">
                  <c:v>With LOC</c:v>
                </c:pt>
              </c:strCache>
            </c:strRef>
          </c:cat>
          <c:val>
            <c:numRef>
              <c:f>'Chart Data'!$G$4:$H$4</c:f>
              <c:numCache>
                <c:formatCode>\$#,##0</c:formatCode>
                <c:ptCount val="2"/>
                <c:pt idx="0">
                  <c:v>120000000</c:v>
                </c:pt>
                <c:pt idx="1">
                  <c:v>145000000</c:v>
                </c:pt>
              </c:numCache>
            </c:numRef>
          </c:val>
          <c:extLst>
            <c:ext xmlns:c16="http://schemas.microsoft.com/office/drawing/2014/chart" uri="{C3380CC4-5D6E-409C-BE32-E72D297353CC}">
              <c16:uniqueId val="{00000001-B09F-4070-A669-410F165597D7}"/>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quot;M&quot;" sourceLinked="0"/>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a:pPr>
            <a:r>
              <a:rPr lang="en-US" sz="1000" b="1" i="0" u="none" strike="noStrike" baseline="0"/>
              <a:t>Illustrative Pretax Income Impact</a:t>
            </a:r>
            <a:endParaRPr lang="en-US"/>
          </a:p>
        </c:rich>
      </c:tx>
      <c:overlay val="0"/>
      <c:spPr>
        <a:noFill/>
      </c:spPr>
    </c:title>
    <c:autoTitleDeleted val="0"/>
    <c:plotArea>
      <c:layout/>
      <c:barChart>
        <c:barDir val="col"/>
        <c:grouping val="clustered"/>
        <c:varyColors val="0"/>
        <c:ser>
          <c:idx val="0"/>
          <c:order val="0"/>
          <c:tx>
            <c:v>Amount</c:v>
          </c:tx>
          <c:spPr>
            <a:solidFill>
              <a:srgbClr val="00833E"/>
            </a:solidFill>
          </c:spPr>
          <c:invertIfNegative val="1"/>
          <c:dLbls>
            <c:spPr>
              <a:noFill/>
              <a:ln>
                <a:noFill/>
              </a:ln>
              <a:effectLst/>
            </c:spPr>
            <c:txPr>
              <a:bodyPr wrap="square" lIns="38100" tIns="19050" rIns="38100" bIns="19050" anchor="ctr">
                <a:spAutoFit/>
              </a:bodyPr>
              <a:lstStyle/>
              <a:p>
                <a:pPr>
                  <a:defRPr b="1">
                    <a:solidFill>
                      <a:schemeClr val="accent1"/>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Data'!$A$15:$A$17</c:f>
              <c:strCache>
                <c:ptCount val="3"/>
                <c:pt idx="0">
                  <c:v>Gross Incremental Income</c:v>
                </c:pt>
                <c:pt idx="1">
                  <c:v>Annual LOC Cost</c:v>
                </c:pt>
                <c:pt idx="2">
                  <c:v>Pretax Net Interest Income Benefit</c:v>
                </c:pt>
              </c:strCache>
            </c:strRef>
          </c:cat>
          <c:val>
            <c:numRef>
              <c:f>'Chart Data'!$B$15:$B$17</c:f>
              <c:numCache>
                <c:formatCode>\$#,##0</c:formatCode>
                <c:ptCount val="3"/>
                <c:pt idx="0">
                  <c:v>625000</c:v>
                </c:pt>
                <c:pt idx="1">
                  <c:v>-28750</c:v>
                </c:pt>
                <c:pt idx="2">
                  <c:v>596250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B9F0-4FAC-953B-382825C693E8}"/>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 sourceLinked="0"/>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a:pPr>
            <a:r>
              <a:rPr lang="en-US" sz="1000" b="1" i="0" u="none" strike="noStrike" kern="1200" baseline="0">
                <a:solidFill>
                  <a:sysClr val="windowText" lastClr="000000"/>
                </a:solidFill>
              </a:rPr>
              <a:t>Remaining Borrowing Capacity</a:t>
            </a:r>
          </a:p>
        </c:rich>
      </c:tx>
      <c:overlay val="0"/>
    </c:title>
    <c:autoTitleDeleted val="0"/>
    <c:plotArea>
      <c:layout/>
      <c:barChart>
        <c:barDir val="col"/>
        <c:grouping val="clustered"/>
        <c:varyColors val="0"/>
        <c:ser>
          <c:idx val="0"/>
          <c:order val="0"/>
          <c:tx>
            <c:v>Current Position</c:v>
          </c:tx>
          <c:invertIfNegative val="1"/>
          <c:dLbls>
            <c:spPr>
              <a:noFill/>
              <a:ln>
                <a:noFill/>
              </a:ln>
              <a:effectLst/>
            </c:spPr>
            <c:txPr>
              <a:bodyPr wrap="square" lIns="38100" tIns="19050" rIns="38100" bIns="19050" anchor="ctr">
                <a:spAutoFit/>
              </a:bodyPr>
              <a:lstStyle/>
              <a:p>
                <a:pPr>
                  <a:defRPr b="1">
                    <a:solidFill>
                      <a:schemeClr val="accent1"/>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Data'!$F$15:$F$15</c:f>
              <c:strCache>
                <c:ptCount val="1"/>
                <c:pt idx="0">
                  <c:v>Remaining Borrowing Capacity</c:v>
                </c:pt>
              </c:strCache>
            </c:strRef>
          </c:cat>
          <c:val>
            <c:numRef>
              <c:f>'Chart Data'!$G$15:$G$15</c:f>
              <c:numCache>
                <c:formatCode>\$#,##0</c:formatCode>
                <c:ptCount val="1"/>
                <c:pt idx="0">
                  <c:v>200000000</c:v>
                </c:pt>
              </c:numCache>
            </c:numRef>
          </c:val>
          <c:extLst>
            <c:ext xmlns:c16="http://schemas.microsoft.com/office/drawing/2014/chart" uri="{C3380CC4-5D6E-409C-BE32-E72D297353CC}">
              <c16:uniqueId val="{00000000-2699-49A0-89CC-FF15D772A83E}"/>
            </c:ext>
          </c:extLst>
        </c:ser>
        <c:ser>
          <c:idx val="1"/>
          <c:order val="1"/>
          <c:tx>
            <c:v>With LOC</c:v>
          </c:tx>
          <c:invertIfNegative val="1"/>
          <c:dLbls>
            <c:spPr>
              <a:noFill/>
              <a:ln>
                <a:noFill/>
              </a:ln>
              <a:effectLst/>
            </c:spPr>
            <c:txPr>
              <a:bodyPr wrap="square" lIns="38100" tIns="19050" rIns="38100" bIns="19050" anchor="ctr">
                <a:spAutoFit/>
              </a:bodyPr>
              <a:lstStyle/>
              <a:p>
                <a:pPr>
                  <a:defRPr b="1">
                    <a:solidFill>
                      <a:schemeClr val="accent2"/>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Data'!$F$15:$F$15</c:f>
              <c:strCache>
                <c:ptCount val="1"/>
                <c:pt idx="0">
                  <c:v>Remaining Borrowing Capacity</c:v>
                </c:pt>
              </c:strCache>
            </c:strRef>
          </c:cat>
          <c:val>
            <c:numRef>
              <c:f>'Chart Data'!$H$15:$H$15</c:f>
              <c:numCache>
                <c:formatCode>\$#,##0</c:formatCode>
                <c:ptCount val="1"/>
                <c:pt idx="0">
                  <c:v>175000000</c:v>
                </c:pt>
              </c:numCache>
            </c:numRef>
          </c:val>
          <c:extLst>
            <c:ext xmlns:c16="http://schemas.microsoft.com/office/drawing/2014/chart" uri="{C3380CC4-5D6E-409C-BE32-E72D297353CC}">
              <c16:uniqueId val="{00000001-2699-49A0-89CC-FF15D772A83E}"/>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quot;M&quot;" sourceLinked="0"/>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pPr>
              <a:defRPr/>
            </a:pPr>
            <a:r>
              <a:rPr lang="en-US" sz="1000" b="1" i="0" u="none" strike="noStrike" baseline="0"/>
              <a:t>NIM and ROAA Impact</a:t>
            </a:r>
            <a:endParaRPr lang="en-US"/>
          </a:p>
        </c:rich>
      </c:tx>
      <c:overlay val="0"/>
    </c:title>
    <c:autoTitleDeleted val="0"/>
    <c:plotArea>
      <c:layout/>
      <c:barChart>
        <c:barDir val="col"/>
        <c:grouping val="clustered"/>
        <c:varyColors val="0"/>
        <c:ser>
          <c:idx val="0"/>
          <c:order val="0"/>
          <c:tx>
            <c:v>Current Position</c:v>
          </c:tx>
          <c:invertIfNegative val="1"/>
          <c:dLbls>
            <c:spPr>
              <a:noFill/>
              <a:ln>
                <a:noFill/>
              </a:ln>
              <a:effectLst/>
            </c:spPr>
            <c:txPr>
              <a:bodyPr wrap="square" lIns="38100" tIns="19050" rIns="38100" bIns="19050" anchor="ctr">
                <a:spAutoFit/>
              </a:bodyPr>
              <a:lstStyle/>
              <a:p>
                <a:pPr>
                  <a:defRPr b="1">
                    <a:solidFill>
                      <a:schemeClr val="accent1"/>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Data'!$A$5:$A$6</c:f>
              <c:strCache>
                <c:ptCount val="2"/>
                <c:pt idx="0">
                  <c:v>Net Interest Margin</c:v>
                </c:pt>
                <c:pt idx="1">
                  <c:v>Return on Average Assets</c:v>
                </c:pt>
              </c:strCache>
            </c:strRef>
          </c:cat>
          <c:val>
            <c:numRef>
              <c:f>'Chart Data'!$B$5:$B$6</c:f>
              <c:numCache>
                <c:formatCode>0.00%</c:formatCode>
                <c:ptCount val="2"/>
                <c:pt idx="0">
                  <c:v>2.9000000000000001E-2</c:v>
                </c:pt>
                <c:pt idx="1">
                  <c:v>6.0000000000000001E-3</c:v>
                </c:pt>
              </c:numCache>
            </c:numRef>
          </c:val>
          <c:extLst>
            <c:ext xmlns:c16="http://schemas.microsoft.com/office/drawing/2014/chart" uri="{C3380CC4-5D6E-409C-BE32-E72D297353CC}">
              <c16:uniqueId val="{00000000-BC08-4070-B91D-CACDF6055797}"/>
            </c:ext>
          </c:extLst>
        </c:ser>
        <c:ser>
          <c:idx val="1"/>
          <c:order val="1"/>
          <c:tx>
            <c:v>With Fixed Balance LOC</c:v>
          </c:tx>
          <c:invertIfNegative val="1"/>
          <c:dLbls>
            <c:spPr>
              <a:noFill/>
              <a:ln>
                <a:noFill/>
              </a:ln>
              <a:effectLst/>
            </c:spPr>
            <c:txPr>
              <a:bodyPr wrap="square" lIns="38100" tIns="19050" rIns="38100" bIns="19050" anchor="ctr">
                <a:spAutoFit/>
              </a:bodyPr>
              <a:lstStyle/>
              <a:p>
                <a:pPr>
                  <a:defRPr b="1">
                    <a:solidFill>
                      <a:schemeClr val="accent2"/>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'Chart Data'!$A$5:$A$6</c:f>
              <c:strCache>
                <c:ptCount val="2"/>
                <c:pt idx="0">
                  <c:v>Net Interest Margin</c:v>
                </c:pt>
                <c:pt idx="1">
                  <c:v>Return on Average Assets</c:v>
                </c:pt>
              </c:strCache>
            </c:strRef>
          </c:cat>
          <c:val>
            <c:numRef>
              <c:f>'Chart Data'!$C$5:$C$6</c:f>
              <c:numCache>
                <c:formatCode>0.00%</c:formatCode>
                <c:ptCount val="2"/>
                <c:pt idx="0">
                  <c:v>2.9627631578947371E-2</c:v>
                </c:pt>
                <c:pt idx="1">
                  <c:v>6.5962499999999997E-3</c:v>
                </c:pt>
              </c:numCache>
            </c:numRef>
          </c:val>
          <c:extLst>
            <c:ext xmlns:c16="http://schemas.microsoft.com/office/drawing/2014/chart" uri="{C3380CC4-5D6E-409C-BE32-E72D297353CC}">
              <c16:uniqueId val="{00000001-BC08-4070-B91D-CACDF6055797}"/>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0%" sourceLinked="0"/>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b="1" i="0" u="none" strike="noStrike" baseline="0">
                <a:effectLst/>
              </a:rPr>
              <a:t>Sensitivity to Redeployment Yield </a:t>
            </a:r>
            <a:endParaRPr lang="en-US" sz="1000"/>
          </a:p>
        </c:rich>
      </c:tx>
      <c:overlay val="0"/>
    </c:title>
    <c:autoTitleDeleted val="0"/>
    <c:plotArea>
      <c:layout/>
      <c:barChart>
        <c:barDir val="col"/>
        <c:grouping val="clustered"/>
        <c:varyColors val="0"/>
        <c:ser>
          <c:idx val="0"/>
          <c:order val="0"/>
          <c:tx>
            <c:strRef>
              <c:f>'Chart Data'!$C$21</c:f>
              <c:strCache>
                <c:ptCount val="1"/>
                <c:pt idx="0">
                  <c:v>NIM After</c:v>
                </c:pt>
              </c:strCache>
            </c:strRef>
          </c:tx>
          <c:invertIfNegative val="1"/>
          <c:dLbls>
            <c:spPr>
              <a:noFill/>
              <a:ln>
                <a:noFill/>
              </a:ln>
              <a:effectLst/>
            </c:spPr>
            <c:txPr>
              <a:bodyPr wrap="square" lIns="38100" tIns="19050" rIns="38100" bIns="19050" anchor="ctr">
                <a:spAutoFit/>
              </a:bodyPr>
              <a:lstStyle/>
              <a:p>
                <a:pPr>
                  <a:defRPr b="1">
                    <a:solidFill>
                      <a:schemeClr val="accent1"/>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'Chart Data'!$A$22:$A$26</c:f>
              <c:numCache>
                <c:formatCode>0.00%</c:formatCode>
                <c:ptCount val="5"/>
                <c:pt idx="0">
                  <c:v>4.7500000000000001E-2</c:v>
                </c:pt>
                <c:pt idx="1">
                  <c:v>5.2499999999999998E-2</c:v>
                </c:pt>
                <c:pt idx="2">
                  <c:v>5.7500000000000002E-2</c:v>
                </c:pt>
                <c:pt idx="3">
                  <c:v>6.25E-2</c:v>
                </c:pt>
                <c:pt idx="4">
                  <c:v>6.7500000000000004E-2</c:v>
                </c:pt>
              </c:numCache>
            </c:numRef>
          </c:cat>
          <c:val>
            <c:numRef>
              <c:f>'Chart Data'!$C$22:$C$26</c:f>
              <c:numCache>
                <c:formatCode>0.00%</c:formatCode>
                <c:ptCount val="5"/>
                <c:pt idx="0">
                  <c:v>2.9364473684210527E-2</c:v>
                </c:pt>
                <c:pt idx="1">
                  <c:v>2.9496052631578947E-2</c:v>
                </c:pt>
                <c:pt idx="2">
                  <c:v>2.9627631578947371E-2</c:v>
                </c:pt>
                <c:pt idx="3">
                  <c:v>2.9759210526315791E-2</c:v>
                </c:pt>
                <c:pt idx="4">
                  <c:v>2.9890789473684211E-2</c:v>
                </c:pt>
              </c:numCache>
            </c:numRef>
          </c:val>
          <c:extLst>
            <c:ext xmlns:c16="http://schemas.microsoft.com/office/drawing/2014/chart" uri="{C3380CC4-5D6E-409C-BE32-E72D297353CC}">
              <c16:uniqueId val="{00000000-5236-4FA1-9B9A-B2EA46A5C461}"/>
            </c:ext>
          </c:extLst>
        </c:ser>
        <c:ser>
          <c:idx val="1"/>
          <c:order val="1"/>
          <c:tx>
            <c:strRef>
              <c:f>'Chart Data'!$D$21</c:f>
              <c:strCache>
                <c:ptCount val="1"/>
                <c:pt idx="0">
                  <c:v>ROAA After</c:v>
                </c:pt>
              </c:strCache>
            </c:strRef>
          </c:tx>
          <c:invertIfNegative val="1"/>
          <c:dLbls>
            <c:spPr>
              <a:noFill/>
              <a:ln>
                <a:noFill/>
              </a:ln>
              <a:effectLst/>
            </c:spPr>
            <c:txPr>
              <a:bodyPr wrap="square" lIns="38100" tIns="19050" rIns="38100" bIns="19050" anchor="ctr">
                <a:spAutoFit/>
              </a:bodyPr>
              <a:lstStyle/>
              <a:p>
                <a:pPr>
                  <a:defRPr b="1">
                    <a:solidFill>
                      <a:schemeClr val="accent2"/>
                    </a:solidFil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'Chart Data'!$A$22:$A$26</c:f>
              <c:numCache>
                <c:formatCode>0.00%</c:formatCode>
                <c:ptCount val="5"/>
                <c:pt idx="0">
                  <c:v>4.7500000000000001E-2</c:v>
                </c:pt>
                <c:pt idx="1">
                  <c:v>5.2499999999999998E-2</c:v>
                </c:pt>
                <c:pt idx="2">
                  <c:v>5.7500000000000002E-2</c:v>
                </c:pt>
                <c:pt idx="3">
                  <c:v>6.25E-2</c:v>
                </c:pt>
                <c:pt idx="4">
                  <c:v>6.7500000000000004E-2</c:v>
                </c:pt>
              </c:numCache>
            </c:numRef>
          </c:cat>
          <c:val>
            <c:numRef>
              <c:f>'Chart Data'!$D$22:$D$26</c:f>
              <c:numCache>
                <c:formatCode>0.00%</c:formatCode>
                <c:ptCount val="5"/>
                <c:pt idx="0">
                  <c:v>6.3462500000000003E-3</c:v>
                </c:pt>
                <c:pt idx="1">
                  <c:v>6.4712500000000004E-3</c:v>
                </c:pt>
                <c:pt idx="2">
                  <c:v>6.5962499999999997E-3</c:v>
                </c:pt>
                <c:pt idx="3">
                  <c:v>6.7212499999999998E-3</c:v>
                </c:pt>
                <c:pt idx="4">
                  <c:v>6.8462499999999999E-3</c:v>
                </c:pt>
              </c:numCache>
            </c:numRef>
          </c:val>
          <c:extLst>
            <c:ext xmlns:c16="http://schemas.microsoft.com/office/drawing/2014/chart" uri="{C3380CC4-5D6E-409C-BE32-E72D297353CC}">
              <c16:uniqueId val="{00000001-5236-4FA1-9B9A-B2EA46A5C461}"/>
            </c:ext>
          </c:extLst>
        </c:ser>
        <c:dLbls>
          <c:dLblPos val="outEnd"/>
          <c:showLegendKey val="0"/>
          <c:showVal val="1"/>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0.00%"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00%" sourceLinked="0"/>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758824</xdr:colOff>
      <xdr:row>16</xdr:row>
      <xdr:rowOff>95250</xdr:rowOff>
    </xdr:from>
    <xdr:to>
      <xdr:col>8</xdr:col>
      <xdr:colOff>50799</xdr:colOff>
      <xdr:row>34</xdr:row>
      <xdr:rowOff>142875</xdr:rowOff>
    </xdr:to>
    <xdr:graphicFrame macro="">
      <xdr:nvGraphicFramePr>
        <xdr:cNvPr id="2" nam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780256</xdr:colOff>
      <xdr:row>35</xdr:row>
      <xdr:rowOff>149223</xdr:rowOff>
    </xdr:from>
    <xdr:to>
      <xdr:col>8</xdr:col>
      <xdr:colOff>53181</xdr:colOff>
      <xdr:row>54</xdr:row>
      <xdr:rowOff>29367</xdr:rowOff>
    </xdr:to>
    <xdr:graphicFrame macro="">
      <xdr:nvGraphicFramePr>
        <xdr:cNvPr id="3" nam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1146175</xdr:colOff>
      <xdr:row>35</xdr:row>
      <xdr:rowOff>148430</xdr:rowOff>
    </xdr:from>
    <xdr:to>
      <xdr:col>15</xdr:col>
      <xdr:colOff>615950</xdr:colOff>
      <xdr:row>52</xdr:row>
      <xdr:rowOff>142081</xdr:rowOff>
    </xdr:to>
    <xdr:graphicFrame macro="">
      <xdr:nvGraphicFramePr>
        <xdr:cNvPr id="4" name="Chart">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1149350</xdr:colOff>
      <xdr:row>16</xdr:row>
      <xdr:rowOff>76995</xdr:rowOff>
    </xdr:from>
    <xdr:to>
      <xdr:col>15</xdr:col>
      <xdr:colOff>619125</xdr:colOff>
      <xdr:row>34</xdr:row>
      <xdr:rowOff>119062</xdr:rowOff>
    </xdr:to>
    <xdr:graphicFrame macro="">
      <xdr:nvGraphicFramePr>
        <xdr:cNvPr id="5" name="Chart">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23813</xdr:colOff>
      <xdr:row>0</xdr:row>
      <xdr:rowOff>0</xdr:rowOff>
    </xdr:from>
    <xdr:to>
      <xdr:col>18</xdr:col>
      <xdr:colOff>23813</xdr:colOff>
      <xdr:row>15</xdr:row>
      <xdr:rowOff>86519</xdr:rowOff>
    </xdr:to>
    <xdr:graphicFrame macro="">
      <xdr:nvGraphicFramePr>
        <xdr:cNvPr id="6" name="Chart">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2393156</xdr:colOff>
      <xdr:row>28</xdr:row>
      <xdr:rowOff>59532</xdr:rowOff>
    </xdr:from>
    <xdr:to>
      <xdr:col>4</xdr:col>
      <xdr:colOff>176212</xdr:colOff>
      <xdr:row>46</xdr:row>
      <xdr:rowOff>127794</xdr:rowOff>
    </xdr:to>
    <xdr:graphicFrame macro="">
      <xdr:nvGraphicFramePr>
        <xdr:cNvPr id="8" name="Chart">
          <a:extLst>
            <a:ext uri="{FF2B5EF4-FFF2-40B4-BE49-F238E27FC236}">
              <a16:creationId xmlns:a16="http://schemas.microsoft.com/office/drawing/2014/main" id="{E4841018-8C6E-4E48-B261-394AF95C8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FHLB theme">
  <a:themeElements>
    <a:clrScheme name="Custom 1">
      <a:dk1>
        <a:sysClr val="windowText" lastClr="000000"/>
      </a:dk1>
      <a:lt1>
        <a:sysClr val="window" lastClr="FFFFFF"/>
      </a:lt1>
      <a:dk2>
        <a:srgbClr val="44546A"/>
      </a:dk2>
      <a:lt2>
        <a:srgbClr val="E7E6E6"/>
      </a:lt2>
      <a:accent1>
        <a:srgbClr val="00833E"/>
      </a:accent1>
      <a:accent2>
        <a:srgbClr val="98989A"/>
      </a:accent2>
      <a:accent3>
        <a:srgbClr val="76BC21"/>
      </a:accent3>
      <a:accent4>
        <a:srgbClr val="004987"/>
      </a:accent4>
      <a:accent5>
        <a:srgbClr val="00A0DF"/>
      </a:accent5>
      <a:accent6>
        <a:srgbClr val="70AD47"/>
      </a:accent6>
      <a:hlink>
        <a:srgbClr val="0563C1"/>
      </a:hlink>
      <a:folHlink>
        <a:srgbClr val="954F72"/>
      </a:folHlink>
    </a:clrScheme>
    <a:fontScheme name="FHLBank">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workbookViewId="0">
      <selection activeCell="B32" sqref="B32"/>
    </sheetView>
  </sheetViews>
  <sheetFormatPr defaultRowHeight="14.25"/>
  <cols>
    <col min="1" max="1" width="20" customWidth="1"/>
    <col min="2" max="2" width="32" customWidth="1"/>
    <col min="3" max="3" width="62" customWidth="1"/>
    <col min="4" max="4" width="33.875" customWidth="1"/>
    <col min="5" max="8" width="8" customWidth="1"/>
  </cols>
  <sheetData>
    <row r="1" spans="1:11" ht="23.1" customHeight="1">
      <c r="A1" s="64" t="s">
        <v>85</v>
      </c>
      <c r="B1" s="64"/>
      <c r="C1" s="64"/>
      <c r="D1" s="64"/>
      <c r="E1" s="5"/>
      <c r="F1" s="5"/>
      <c r="G1" s="5"/>
      <c r="H1" s="5"/>
      <c r="I1" s="1"/>
      <c r="J1" s="1"/>
      <c r="K1" s="1"/>
    </row>
    <row r="2" spans="1:11" ht="17.45" customHeight="1">
      <c r="A2" s="65" t="s">
        <v>150</v>
      </c>
      <c r="B2" s="66"/>
      <c r="C2" s="66"/>
      <c r="D2" s="66"/>
      <c r="E2" s="6"/>
      <c r="F2" s="6"/>
      <c r="G2" s="6"/>
      <c r="H2" s="6"/>
    </row>
    <row r="3" spans="1:11" ht="73.5" customHeight="1">
      <c r="A3" s="23" t="s">
        <v>86</v>
      </c>
      <c r="B3" s="39" t="s">
        <v>87</v>
      </c>
      <c r="C3" s="38" t="s">
        <v>151</v>
      </c>
      <c r="D3" s="35"/>
    </row>
    <row r="4" spans="1:11" ht="7.5" customHeight="1">
      <c r="A4" s="27"/>
      <c r="B4" s="25"/>
      <c r="C4" s="25"/>
      <c r="D4" s="28"/>
    </row>
    <row r="5" spans="1:11" ht="21.6" customHeight="1">
      <c r="A5" s="67" t="s">
        <v>88</v>
      </c>
      <c r="B5" s="67"/>
      <c r="C5" s="67"/>
      <c r="D5" s="67"/>
    </row>
    <row r="6" spans="1:11" ht="14.65" customHeight="1">
      <c r="A6" s="24" t="s">
        <v>89</v>
      </c>
      <c r="B6" s="24" t="s">
        <v>90</v>
      </c>
      <c r="C6" s="24" t="s">
        <v>91</v>
      </c>
      <c r="D6" s="24" t="s">
        <v>92</v>
      </c>
    </row>
    <row r="7" spans="1:11" ht="39.950000000000003" customHeight="1">
      <c r="A7" s="32">
        <v>1</v>
      </c>
      <c r="B7" s="36" t="s">
        <v>51</v>
      </c>
      <c r="C7" s="37" t="s">
        <v>93</v>
      </c>
      <c r="D7" s="37" t="s">
        <v>94</v>
      </c>
    </row>
    <row r="8" spans="1:11" ht="30" customHeight="1">
      <c r="A8" s="32">
        <v>2</v>
      </c>
      <c r="B8" s="36" t="s">
        <v>95</v>
      </c>
      <c r="C8" s="37" t="s">
        <v>152</v>
      </c>
      <c r="D8" s="37" t="s">
        <v>96</v>
      </c>
      <c r="E8" s="7"/>
      <c r="F8" s="7"/>
      <c r="G8" s="7"/>
      <c r="H8" s="7"/>
    </row>
    <row r="9" spans="1:11" ht="30" customHeight="1">
      <c r="A9" s="32">
        <v>3</v>
      </c>
      <c r="B9" s="36" t="s">
        <v>97</v>
      </c>
      <c r="C9" s="37" t="s">
        <v>98</v>
      </c>
      <c r="D9" s="37" t="s">
        <v>99</v>
      </c>
    </row>
    <row r="10" spans="1:11" ht="5.45" customHeight="1">
      <c r="A10" s="29"/>
      <c r="B10" s="27"/>
      <c r="C10" s="27"/>
      <c r="D10" s="28"/>
    </row>
    <row r="11" spans="1:11" ht="14.65" customHeight="1">
      <c r="A11" s="68" t="s">
        <v>100</v>
      </c>
      <c r="B11" s="68"/>
      <c r="C11" s="68"/>
      <c r="D11" s="68"/>
    </row>
    <row r="12" spans="1:11" ht="14.65" customHeight="1">
      <c r="A12" s="26" t="s">
        <v>89</v>
      </c>
      <c r="B12" s="24" t="s">
        <v>101</v>
      </c>
      <c r="C12" s="24" t="s">
        <v>102</v>
      </c>
      <c r="D12" s="24" t="s">
        <v>103</v>
      </c>
    </row>
    <row r="13" spans="1:11" ht="27.95" customHeight="1">
      <c r="A13" s="32" t="s">
        <v>104</v>
      </c>
      <c r="B13" s="33" t="s">
        <v>105</v>
      </c>
      <c r="C13" s="31" t="s">
        <v>106</v>
      </c>
      <c r="D13" s="31" t="s">
        <v>107</v>
      </c>
    </row>
    <row r="14" spans="1:11" ht="32.1" customHeight="1">
      <c r="A14" s="32" t="s">
        <v>108</v>
      </c>
      <c r="B14" s="33" t="s">
        <v>109</v>
      </c>
      <c r="C14" s="31" t="s">
        <v>110</v>
      </c>
      <c r="D14" s="31" t="s">
        <v>111</v>
      </c>
    </row>
    <row r="15" spans="1:11" ht="27.95" customHeight="1">
      <c r="A15" s="32" t="s">
        <v>112</v>
      </c>
      <c r="B15" s="33" t="s">
        <v>113</v>
      </c>
      <c r="C15" s="31" t="s">
        <v>114</v>
      </c>
      <c r="D15" s="31" t="s">
        <v>115</v>
      </c>
      <c r="E15" s="8"/>
      <c r="F15" s="8"/>
      <c r="G15" s="8"/>
      <c r="H15" s="8"/>
    </row>
    <row r="16" spans="1:11" ht="38.25" customHeight="1">
      <c r="A16" s="32" t="s">
        <v>116</v>
      </c>
      <c r="B16" s="33" t="s">
        <v>117</v>
      </c>
      <c r="C16" s="31" t="s">
        <v>118</v>
      </c>
      <c r="D16" s="31" t="s">
        <v>119</v>
      </c>
      <c r="E16" s="9"/>
      <c r="F16" s="9"/>
      <c r="G16" s="9"/>
      <c r="H16" s="9"/>
    </row>
    <row r="17" spans="1:8" ht="6.95" customHeight="1">
      <c r="A17" s="30"/>
      <c r="B17" s="30"/>
      <c r="C17" s="30"/>
      <c r="D17" s="30"/>
      <c r="E17" s="9"/>
      <c r="F17" s="9"/>
      <c r="G17" s="9"/>
      <c r="H17" s="9"/>
    </row>
    <row r="18" spans="1:8" ht="13.35" customHeight="1">
      <c r="A18" s="62" t="s">
        <v>120</v>
      </c>
      <c r="B18" s="62"/>
      <c r="C18" s="62"/>
      <c r="D18" s="62"/>
      <c r="E18" s="9"/>
      <c r="F18" s="9"/>
      <c r="G18" s="9"/>
      <c r="H18" s="9"/>
    </row>
    <row r="19" spans="1:8" ht="27.95" customHeight="1">
      <c r="A19" s="34" t="s">
        <v>121</v>
      </c>
      <c r="B19" s="63" t="s">
        <v>122</v>
      </c>
      <c r="C19" s="63"/>
      <c r="D19" s="63"/>
    </row>
    <row r="20" spans="1:8" ht="21.4" customHeight="1">
      <c r="A20" s="34" t="s">
        <v>123</v>
      </c>
      <c r="B20" s="63" t="s">
        <v>124</v>
      </c>
      <c r="C20" s="63"/>
      <c r="D20" s="63"/>
    </row>
    <row r="21" spans="1:8" ht="27.95" customHeight="1">
      <c r="A21" s="34" t="s">
        <v>125</v>
      </c>
      <c r="B21" s="63" t="s">
        <v>153</v>
      </c>
      <c r="C21" s="63"/>
      <c r="D21" s="63"/>
    </row>
    <row r="22" spans="1:8">
      <c r="A22" s="2"/>
      <c r="B22" s="2"/>
      <c r="C22" s="2"/>
    </row>
    <row r="23" spans="1:8">
      <c r="A23" s="2"/>
      <c r="B23" s="2"/>
      <c r="C23" s="2"/>
    </row>
  </sheetData>
  <sheetProtection algorithmName="SHA-512" hashValue="XuWgX6Pd3irEzKlfaQCPDmmpnZRCcEV80XujLLPMnDsLstc6q/pzGMMw69cWVODiT5YAeskL54mq+WDAwiAp2g==" saltValue="45dUHjBgg1qnl/osjYPedQ==" spinCount="100000" sheet="1" objects="1" scenarios="1"/>
  <mergeCells count="8">
    <mergeCell ref="A18:D18"/>
    <mergeCell ref="B19:D19"/>
    <mergeCell ref="B20:D20"/>
    <mergeCell ref="B21:D21"/>
    <mergeCell ref="A1:D1"/>
    <mergeCell ref="A2:D2"/>
    <mergeCell ref="A5:D5"/>
    <mergeCell ref="A11:D11"/>
  </mergeCells>
  <pageMargins left="0.7" right="0.7" top="0.75" bottom="0.75" header="0.3" footer="0.3"/>
  <headerFooter>
    <oddFooter>&amp;L_x000D_&amp;1#&amp;"Aptos"&amp;10&amp;K000000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50"/>
  <sheetViews>
    <sheetView tabSelected="1" workbookViewId="0">
      <selection activeCell="B24" sqref="B24"/>
    </sheetView>
  </sheetViews>
  <sheetFormatPr defaultRowHeight="14.25"/>
  <cols>
    <col min="1" max="1" width="38" customWidth="1"/>
    <col min="2" max="2" width="18" customWidth="1"/>
    <col min="3" max="3" width="48" customWidth="1"/>
    <col min="4" max="4" width="18" customWidth="1"/>
    <col min="5" max="5" width="36" customWidth="1"/>
    <col min="6" max="6" width="23" customWidth="1"/>
    <col min="7" max="7" width="23.75" customWidth="1"/>
    <col min="8" max="8" width="23" customWidth="1"/>
  </cols>
  <sheetData>
    <row r="1" spans="1:11" ht="24" customHeight="1">
      <c r="A1" s="53" t="s">
        <v>0</v>
      </c>
      <c r="B1" s="53"/>
      <c r="C1" s="53"/>
      <c r="D1" s="53"/>
      <c r="E1" s="53"/>
      <c r="F1" s="53"/>
      <c r="G1" s="53"/>
      <c r="H1" s="53"/>
      <c r="I1" s="1"/>
      <c r="J1" s="1"/>
      <c r="K1" s="1"/>
    </row>
    <row r="2" spans="1:11" ht="29.45" customHeight="1">
      <c r="A2" s="54" t="s">
        <v>126</v>
      </c>
      <c r="B2" s="54"/>
      <c r="C2" s="54"/>
      <c r="D2" s="54"/>
      <c r="E2" s="54"/>
      <c r="F2" s="54"/>
      <c r="G2" s="54"/>
      <c r="H2" s="54"/>
    </row>
    <row r="3" spans="1:11" ht="6.6" customHeight="1">
      <c r="A3" s="55"/>
      <c r="B3" s="55"/>
      <c r="C3" s="55"/>
      <c r="D3" s="55"/>
      <c r="E3" s="55"/>
      <c r="F3" s="55"/>
      <c r="G3" s="55"/>
      <c r="H3" s="55"/>
    </row>
    <row r="4" spans="1:11">
      <c r="A4" s="60" t="s">
        <v>127</v>
      </c>
      <c r="B4" s="61"/>
      <c r="C4" s="61"/>
      <c r="D4" s="2"/>
      <c r="E4" s="2"/>
      <c r="F4" s="2"/>
      <c r="G4" s="2"/>
      <c r="H4" s="2"/>
    </row>
    <row r="5" spans="1:11" ht="13.7" customHeight="1">
      <c r="A5" s="16" t="s">
        <v>1</v>
      </c>
      <c r="B5" s="16" t="s">
        <v>2</v>
      </c>
      <c r="C5" s="16" t="s">
        <v>3</v>
      </c>
      <c r="D5" s="2"/>
      <c r="E5" s="17" t="s">
        <v>128</v>
      </c>
      <c r="F5" s="17" t="s">
        <v>129</v>
      </c>
      <c r="G5" s="17" t="s">
        <v>157</v>
      </c>
      <c r="H5" s="17" t="s">
        <v>130</v>
      </c>
    </row>
    <row r="6" spans="1:11" ht="17.649999999999999" customHeight="1">
      <c r="A6" s="18" t="s">
        <v>4</v>
      </c>
      <c r="B6" s="44">
        <v>1000000000</v>
      </c>
      <c r="C6" s="19" t="s">
        <v>5</v>
      </c>
      <c r="D6" s="2"/>
      <c r="E6" s="18" t="s">
        <v>6</v>
      </c>
      <c r="F6" s="20">
        <f>0</f>
        <v>0</v>
      </c>
      <c r="G6" s="20">
        <f>MIN($B$15,$B$9)</f>
        <v>25000000</v>
      </c>
      <c r="H6" s="20">
        <f t="shared" ref="H6:H17" si="0">G6-F6</f>
        <v>25000000</v>
      </c>
    </row>
    <row r="7" spans="1:11" ht="17.649999999999999" customHeight="1">
      <c r="A7" s="18" t="s">
        <v>7</v>
      </c>
      <c r="B7" s="44">
        <v>950000000</v>
      </c>
      <c r="C7" s="19" t="s">
        <v>8</v>
      </c>
      <c r="D7" s="2"/>
      <c r="E7" s="18" t="s">
        <v>9</v>
      </c>
      <c r="F7" s="20">
        <f>$B$10</f>
        <v>100000000</v>
      </c>
      <c r="G7" s="20">
        <f>F7+G6</f>
        <v>125000000</v>
      </c>
      <c r="H7" s="20">
        <f t="shared" si="0"/>
        <v>25000000</v>
      </c>
    </row>
    <row r="8" spans="1:11" ht="17.649999999999999" customHeight="1">
      <c r="A8" s="18" t="s">
        <v>10</v>
      </c>
      <c r="B8" s="44">
        <v>200000000</v>
      </c>
      <c r="C8" s="19" t="s">
        <v>11</v>
      </c>
      <c r="D8" s="2"/>
      <c r="E8" s="18" t="s">
        <v>12</v>
      </c>
      <c r="F8" s="21">
        <f>F7/$B$6</f>
        <v>0.1</v>
      </c>
      <c r="G8" s="21">
        <f>G7/$B$6</f>
        <v>0.125</v>
      </c>
      <c r="H8" s="21">
        <f t="shared" si="0"/>
        <v>2.4999999999999994E-2</v>
      </c>
    </row>
    <row r="9" spans="1:11" ht="17.649999999999999" customHeight="1">
      <c r="A9" s="18" t="s">
        <v>13</v>
      </c>
      <c r="B9" s="44">
        <v>80000000</v>
      </c>
      <c r="C9" s="19" t="s">
        <v>14</v>
      </c>
      <c r="D9" s="2"/>
      <c r="E9" s="18" t="s">
        <v>15</v>
      </c>
      <c r="F9" s="20">
        <f>$B$9</f>
        <v>80000000</v>
      </c>
      <c r="G9" s="20">
        <f>MAX($B$9-G6,0)</f>
        <v>55000000</v>
      </c>
      <c r="H9" s="20">
        <f t="shared" si="0"/>
        <v>-25000000</v>
      </c>
    </row>
    <row r="10" spans="1:11" ht="17.649999999999999" customHeight="1">
      <c r="A10" s="18" t="s">
        <v>16</v>
      </c>
      <c r="B10" s="44">
        <v>100000000</v>
      </c>
      <c r="C10" s="19" t="s">
        <v>17</v>
      </c>
      <c r="D10" s="2"/>
      <c r="E10" s="18" t="s">
        <v>18</v>
      </c>
      <c r="F10" s="21">
        <f>F9/$B$8</f>
        <v>0.4</v>
      </c>
      <c r="G10" s="21">
        <f>G9/$B$8</f>
        <v>0.27500000000000002</v>
      </c>
      <c r="H10" s="21">
        <f t="shared" si="0"/>
        <v>-0.125</v>
      </c>
    </row>
    <row r="11" spans="1:11" ht="17.649999999999999" customHeight="1">
      <c r="A11" s="18" t="s">
        <v>19</v>
      </c>
      <c r="B11" s="44">
        <v>200000000</v>
      </c>
      <c r="C11" s="19" t="s">
        <v>20</v>
      </c>
      <c r="D11" s="2"/>
      <c r="E11" s="18" t="s">
        <v>21</v>
      </c>
      <c r="F11" s="20">
        <f>$B$11</f>
        <v>200000000</v>
      </c>
      <c r="G11" s="20">
        <f>B11-$B$15</f>
        <v>175000000</v>
      </c>
      <c r="H11" s="20">
        <f t="shared" si="0"/>
        <v>-25000000</v>
      </c>
    </row>
    <row r="12" spans="1:11" ht="17.649999999999999" customHeight="1">
      <c r="A12" s="18" t="s">
        <v>22</v>
      </c>
      <c r="B12" s="45">
        <v>2.9000000000000001E-2</v>
      </c>
      <c r="C12" s="19" t="s">
        <v>23</v>
      </c>
      <c r="D12" s="2"/>
      <c r="E12" s="18" t="s">
        <v>24</v>
      </c>
      <c r="F12" s="20">
        <f>0</f>
        <v>0</v>
      </c>
      <c r="G12" s="20">
        <f>B15*$B$20</f>
        <v>62500</v>
      </c>
      <c r="H12" s="20">
        <f t="shared" si="0"/>
        <v>62500</v>
      </c>
    </row>
    <row r="13" spans="1:11" ht="17.649999999999999" customHeight="1">
      <c r="A13" s="18" t="s">
        <v>25</v>
      </c>
      <c r="B13" s="45">
        <v>6.0000000000000001E-3</v>
      </c>
      <c r="C13" s="19" t="s">
        <v>26</v>
      </c>
      <c r="D13" s="2"/>
      <c r="E13" s="18" t="s">
        <v>27</v>
      </c>
      <c r="F13" s="20">
        <f>0</f>
        <v>0</v>
      </c>
      <c r="G13" s="20">
        <f>MAX($B$21,$B$15*$B$23*$B$17/360)</f>
        <v>28750</v>
      </c>
      <c r="H13" s="20">
        <f t="shared" si="0"/>
        <v>28750</v>
      </c>
    </row>
    <row r="14" spans="1:11" ht="17.649999999999999" customHeight="1">
      <c r="A14" s="18"/>
      <c r="B14" s="46"/>
      <c r="C14" s="19"/>
      <c r="D14" s="2"/>
      <c r="E14" s="18" t="s">
        <v>28</v>
      </c>
      <c r="F14" s="20">
        <f>0</f>
        <v>0</v>
      </c>
      <c r="G14" s="20">
        <f>G6*($B$19-$B$18)</f>
        <v>625000</v>
      </c>
      <c r="H14" s="20">
        <f t="shared" si="0"/>
        <v>625000</v>
      </c>
    </row>
    <row r="15" spans="1:11" ht="17.649999999999999" customHeight="1">
      <c r="A15" s="18" t="s">
        <v>154</v>
      </c>
      <c r="B15" s="44">
        <v>25000000</v>
      </c>
      <c r="C15" s="19" t="s">
        <v>29</v>
      </c>
      <c r="D15" s="2"/>
      <c r="E15" s="18" t="s">
        <v>30</v>
      </c>
      <c r="F15" s="20">
        <f>0</f>
        <v>0</v>
      </c>
      <c r="G15" s="20">
        <f>G14-G13</f>
        <v>596250</v>
      </c>
      <c r="H15" s="20">
        <f t="shared" si="0"/>
        <v>596250</v>
      </c>
    </row>
    <row r="16" spans="1:11" ht="17.649999999999999" customHeight="1">
      <c r="A16" s="18" t="s">
        <v>31</v>
      </c>
      <c r="B16" s="47">
        <v>1</v>
      </c>
      <c r="C16" s="19" t="s">
        <v>32</v>
      </c>
      <c r="D16" s="2"/>
      <c r="E16" s="18" t="s">
        <v>33</v>
      </c>
      <c r="F16" s="21">
        <f>$B$12</f>
        <v>2.9000000000000001E-2</v>
      </c>
      <c r="G16" s="21">
        <f>F16+G15/$B$7</f>
        <v>2.9627631578947371E-2</v>
      </c>
      <c r="H16" s="21">
        <f t="shared" si="0"/>
        <v>6.2763157894736923E-4</v>
      </c>
    </row>
    <row r="17" spans="1:8" ht="17.649999999999999" customHeight="1">
      <c r="A17" s="18" t="s">
        <v>34</v>
      </c>
      <c r="B17" s="47">
        <v>360</v>
      </c>
      <c r="C17" s="19" t="s">
        <v>35</v>
      </c>
      <c r="D17" s="2"/>
      <c r="E17" s="18" t="s">
        <v>36</v>
      </c>
      <c r="F17" s="21">
        <f>$B$13</f>
        <v>6.0000000000000001E-3</v>
      </c>
      <c r="G17" s="21">
        <f>F17+G15/$B$6</f>
        <v>6.5962499999999997E-3</v>
      </c>
      <c r="H17" s="21">
        <f t="shared" si="0"/>
        <v>5.9624999999999956E-4</v>
      </c>
    </row>
    <row r="18" spans="1:8" ht="17.649999999999999" customHeight="1">
      <c r="A18" s="18" t="s">
        <v>37</v>
      </c>
      <c r="B18" s="45">
        <v>3.2500000000000001E-2</v>
      </c>
      <c r="C18" s="19" t="s">
        <v>38</v>
      </c>
      <c r="D18" s="2"/>
      <c r="E18" s="2"/>
      <c r="F18" s="2"/>
      <c r="G18" s="2"/>
      <c r="H18" s="2"/>
    </row>
    <row r="19" spans="1:8" ht="17.649999999999999" customHeight="1">
      <c r="A19" s="18" t="s">
        <v>39</v>
      </c>
      <c r="B19" s="45">
        <v>5.7500000000000002E-2</v>
      </c>
      <c r="C19" s="19" t="s">
        <v>40</v>
      </c>
      <c r="D19" s="2"/>
      <c r="E19" s="2"/>
      <c r="F19" s="2"/>
      <c r="G19" s="2"/>
      <c r="H19" s="2"/>
    </row>
    <row r="20" spans="1:8" ht="17.649999999999999" customHeight="1">
      <c r="A20" s="18" t="s">
        <v>41</v>
      </c>
      <c r="B20" s="45">
        <v>2.5000000000000001E-3</v>
      </c>
      <c r="C20" s="19" t="s">
        <v>42</v>
      </c>
      <c r="D20" s="2"/>
      <c r="E20" s="2"/>
      <c r="F20" s="2"/>
      <c r="G20" s="2"/>
      <c r="H20" s="2"/>
    </row>
    <row r="21" spans="1:8" ht="17.649999999999999" customHeight="1">
      <c r="A21" s="18" t="s">
        <v>43</v>
      </c>
      <c r="B21" s="44">
        <v>250</v>
      </c>
      <c r="C21" s="19" t="s">
        <v>44</v>
      </c>
      <c r="D21" s="2"/>
      <c r="E21" s="2"/>
      <c r="F21" s="2"/>
      <c r="G21" s="2"/>
      <c r="H21" s="2"/>
    </row>
    <row r="22" spans="1:8" ht="30.75" customHeight="1">
      <c r="A22" s="18" t="s">
        <v>155</v>
      </c>
      <c r="B22" s="48">
        <f>IF(B16&lt;=1,11.5,IF(B16&lt;=2,14,18))</f>
        <v>11.5</v>
      </c>
      <c r="C22" s="19" t="s">
        <v>45</v>
      </c>
      <c r="D22" s="2"/>
      <c r="E22" s="2"/>
      <c r="F22" s="2"/>
      <c r="G22" s="2"/>
      <c r="H22" s="2"/>
    </row>
    <row r="23" spans="1:8" ht="17.649999999999999" customHeight="1">
      <c r="A23" s="18" t="s">
        <v>156</v>
      </c>
      <c r="B23" s="49">
        <f>B22/10000</f>
        <v>1.15E-3</v>
      </c>
      <c r="C23" s="19" t="s">
        <v>46</v>
      </c>
      <c r="D23" s="2"/>
      <c r="E23" s="2"/>
      <c r="F23" s="2"/>
      <c r="G23" s="2"/>
      <c r="H23" s="2"/>
    </row>
    <row r="24" spans="1:8">
      <c r="A24" s="2"/>
      <c r="B24" s="2"/>
      <c r="C24" s="2"/>
      <c r="D24" s="2"/>
      <c r="E24" s="2"/>
      <c r="F24" s="2"/>
      <c r="G24" s="2"/>
      <c r="H24" s="2"/>
    </row>
    <row r="25" spans="1:8" ht="15.95" customHeight="1">
      <c r="A25" s="56" t="s">
        <v>146</v>
      </c>
      <c r="B25" s="56"/>
      <c r="C25" s="56"/>
      <c r="D25" s="56"/>
      <c r="E25" s="56"/>
      <c r="F25" s="56"/>
      <c r="G25" s="56"/>
      <c r="H25" s="56"/>
    </row>
    <row r="26" spans="1:8" ht="21" customHeight="1">
      <c r="A26" s="57" t="str">
        <f>"Based on the inputs above, replacing "&amp;TEXT($B$15,"$#,##0")&amp;" of securities pledged directly to support public deposits with a LOC would release "&amp;TEXT($G$6,"$#,##0")&amp;" from that pledge arrangement, increase unencumbered liquidity from "&amp;TEXT($F$8,"0.00%")&amp;" to "&amp;TEXT($G$8,"0.00%")&amp;" of total assets, and reduce pledged securities from "&amp;TEXT($F$10,"0.00%")&amp;" to "&amp;TEXT($G$10,"0.00%")&amp;" of total securities. The illustrative pretax NII benefit is "&amp;TEXT($G$15,"$#,##0")&amp;" after estimated annual LOC cost."</f>
        <v>Based on the inputs above, replacing $25,000,000 of securities pledged directly to support public deposits with a LOC would release $25,000,000 from that pledge arrangement, increase unencumbered liquidity from 10.00% to 12.50% of total assets, and reduce pledged securities from 40.00% to 27.50% of total securities. The illustrative pretax NII benefit is $596,250 after estimated annual LOC cost.</v>
      </c>
      <c r="B26" s="57"/>
      <c r="C26" s="57"/>
      <c r="D26" s="57"/>
      <c r="E26" s="57"/>
      <c r="F26" s="57"/>
      <c r="G26" s="57"/>
      <c r="H26" s="57"/>
    </row>
    <row r="27" spans="1:8" ht="6.6" customHeight="1">
      <c r="A27" s="58"/>
      <c r="B27" s="58"/>
      <c r="C27" s="58"/>
      <c r="D27" s="58"/>
      <c r="E27" s="58"/>
      <c r="F27" s="58"/>
      <c r="G27" s="58"/>
      <c r="H27" s="58"/>
    </row>
    <row r="28" spans="1:8" ht="6.6" customHeight="1">
      <c r="A28" s="58"/>
      <c r="B28" s="58"/>
      <c r="C28" s="58"/>
      <c r="D28" s="58"/>
      <c r="E28" s="58"/>
      <c r="F28" s="58"/>
      <c r="G28" s="58"/>
      <c r="H28" s="58"/>
    </row>
    <row r="29" spans="1:8">
      <c r="A29" s="2"/>
      <c r="B29" s="2"/>
      <c r="C29" s="2"/>
      <c r="D29" s="2"/>
      <c r="E29" s="2"/>
      <c r="F29" s="2"/>
      <c r="G29" s="2"/>
      <c r="H29" s="2"/>
    </row>
    <row r="30" spans="1:8" ht="14.65" customHeight="1">
      <c r="A30" s="50" t="s">
        <v>47</v>
      </c>
      <c r="B30" s="50"/>
      <c r="C30" s="59"/>
      <c r="D30" s="59"/>
      <c r="E30" s="59"/>
      <c r="F30" s="59"/>
      <c r="G30" s="59"/>
      <c r="H30" s="59"/>
    </row>
    <row r="31" spans="1:8" ht="16.5" customHeight="1">
      <c r="A31" s="4" t="s">
        <v>48</v>
      </c>
      <c r="B31" s="2" t="str">
        <f>IF($B$15&gt;$B$9,"Review: LOC amount exceeds current pledged securities. Model only releases available pledged securities.","OK")</f>
        <v>OK</v>
      </c>
      <c r="C31" s="2"/>
      <c r="D31" s="2"/>
      <c r="E31" s="2"/>
      <c r="F31" s="2"/>
      <c r="G31" s="2"/>
      <c r="H31" s="2"/>
    </row>
    <row r="32" spans="1:8" ht="16.5" customHeight="1">
      <c r="A32" s="4" t="s">
        <v>49</v>
      </c>
      <c r="B32" s="2" t="str">
        <f>IF($B$15&gt;$B$11,"Review: LOC amount exceeds current remaining FHLBank borrowing capacity.","OK")</f>
        <v>OK</v>
      </c>
      <c r="C32" s="2"/>
      <c r="D32" s="2"/>
      <c r="E32" s="2"/>
      <c r="F32" s="2"/>
      <c r="G32" s="2"/>
      <c r="H32" s="2"/>
    </row>
    <row r="33" spans="1:8" ht="16.5" customHeight="1">
      <c r="A33" s="4" t="s">
        <v>50</v>
      </c>
      <c r="B33" s="2" t="str">
        <f>IF($B$19&lt;=$B$18,"Review: redeployment yield is not above replaced securities yield, so the earnings impact may be negative.","OK")</f>
        <v>OK</v>
      </c>
      <c r="C33" s="2"/>
      <c r="D33" s="2"/>
      <c r="E33" s="2"/>
      <c r="F33" s="2"/>
      <c r="G33" s="2"/>
      <c r="H33" s="2"/>
    </row>
    <row r="34" spans="1:8" ht="16.5" customHeight="1">
      <c r="A34" s="4" t="s">
        <v>51</v>
      </c>
      <c r="B34" s="2" t="str">
        <f>IF(OR($B$6&lt;=0,$B$7&lt;=0,$B$8&lt;=0),"Review: total assets, earning assets, and total securities should be greater than zero.","OK")</f>
        <v>OK</v>
      </c>
      <c r="C34" s="2"/>
      <c r="D34" s="2"/>
      <c r="E34" s="2"/>
      <c r="F34" s="2"/>
      <c r="G34" s="2"/>
      <c r="H34" s="2"/>
    </row>
    <row r="35" spans="1:8" ht="12.6" customHeight="1">
      <c r="A35" s="2"/>
      <c r="B35" s="2"/>
      <c r="C35" s="2"/>
      <c r="D35" s="2"/>
      <c r="E35" s="2"/>
      <c r="F35" s="2"/>
      <c r="G35" s="2"/>
      <c r="H35" s="2"/>
    </row>
    <row r="36" spans="1:8" ht="15.6" customHeight="1">
      <c r="A36" s="50" t="s">
        <v>3</v>
      </c>
      <c r="B36" s="50"/>
      <c r="C36" s="51"/>
      <c r="D36" s="51"/>
      <c r="E36" s="51"/>
      <c r="F36" s="51"/>
      <c r="G36" s="51"/>
      <c r="H36" s="51"/>
    </row>
    <row r="37" spans="1:8" ht="14.45" customHeight="1">
      <c r="A37" s="52" t="s">
        <v>148</v>
      </c>
      <c r="B37" s="52"/>
      <c r="C37" s="52"/>
      <c r="D37" s="52"/>
      <c r="E37" s="52"/>
      <c r="F37" s="52"/>
      <c r="G37" s="52"/>
      <c r="H37" s="52"/>
    </row>
    <row r="38" spans="1:8" ht="19.149999999999999" customHeight="1">
      <c r="A38" s="43" t="s">
        <v>52</v>
      </c>
      <c r="B38" s="43"/>
      <c r="C38" s="43"/>
      <c r="D38" s="43"/>
      <c r="E38" s="43"/>
      <c r="F38" s="43"/>
      <c r="G38" s="43"/>
      <c r="H38" s="43"/>
    </row>
    <row r="39" spans="1:8" ht="14.45" customHeight="1">
      <c r="A39" s="43" t="s">
        <v>53</v>
      </c>
      <c r="B39" s="42"/>
      <c r="C39" s="42"/>
      <c r="D39" s="42"/>
      <c r="E39" s="42"/>
      <c r="F39" s="42"/>
      <c r="G39" s="42"/>
      <c r="H39" s="42"/>
    </row>
    <row r="40" spans="1:8" ht="14.45" customHeight="1">
      <c r="A40" s="43" t="s">
        <v>54</v>
      </c>
      <c r="B40" s="42"/>
      <c r="C40" s="42"/>
      <c r="D40" s="42"/>
      <c r="E40" s="42"/>
      <c r="F40" s="42"/>
      <c r="G40" s="42"/>
      <c r="H40" s="42"/>
    </row>
    <row r="41" spans="1:8">
      <c r="A41" s="2"/>
      <c r="B41" s="2"/>
      <c r="C41" s="2"/>
      <c r="D41" s="2"/>
      <c r="E41" s="2"/>
      <c r="F41" s="2"/>
      <c r="G41" s="2"/>
      <c r="H41" s="2"/>
    </row>
    <row r="42" spans="1:8" ht="30">
      <c r="A42" s="12" t="s">
        <v>131</v>
      </c>
      <c r="B42" s="12"/>
      <c r="C42" s="12"/>
      <c r="D42" s="12"/>
      <c r="E42" s="2"/>
      <c r="F42" s="2"/>
      <c r="G42" s="2"/>
      <c r="H42" s="2"/>
    </row>
    <row r="43" spans="1:8" ht="15">
      <c r="A43" s="17" t="s">
        <v>39</v>
      </c>
      <c r="B43" s="17" t="s">
        <v>132</v>
      </c>
      <c r="C43" s="17" t="s">
        <v>133</v>
      </c>
      <c r="D43" s="17" t="s">
        <v>134</v>
      </c>
      <c r="E43" s="2"/>
      <c r="F43" s="2"/>
      <c r="G43" s="2"/>
      <c r="H43" s="2"/>
    </row>
    <row r="44" spans="1:8">
      <c r="A44" s="40">
        <v>4.7500000000000001E-2</v>
      </c>
      <c r="B44" s="41">
        <f>$G$6*(A44-$B$18)-$G$13</f>
        <v>346250</v>
      </c>
      <c r="C44" s="40">
        <f>$B$12+B44/$B$7</f>
        <v>2.9364473684210527E-2</v>
      </c>
      <c r="D44" s="40">
        <f>$B$13+B44/$B$6</f>
        <v>6.3462500000000003E-3</v>
      </c>
      <c r="E44" s="2"/>
      <c r="F44" s="2"/>
      <c r="G44" s="2"/>
      <c r="H44" s="2"/>
    </row>
    <row r="45" spans="1:8">
      <c r="A45" s="40">
        <v>5.2499999999999998E-2</v>
      </c>
      <c r="B45" s="41">
        <f>$G$6*(A45-$B$18)-$G$13</f>
        <v>471249.99999999994</v>
      </c>
      <c r="C45" s="40">
        <f>$B$12+B45/$B$7</f>
        <v>2.9496052631578947E-2</v>
      </c>
      <c r="D45" s="40">
        <f>$B$13+B45/$B$6</f>
        <v>6.4712500000000004E-3</v>
      </c>
      <c r="E45" s="2"/>
      <c r="F45" s="2"/>
      <c r="G45" s="2"/>
      <c r="H45" s="2"/>
    </row>
    <row r="46" spans="1:8">
      <c r="A46" s="40">
        <v>5.7500000000000002E-2</v>
      </c>
      <c r="B46" s="41">
        <f>$G$6*(A46-$B$18)-$G$13</f>
        <v>596250</v>
      </c>
      <c r="C46" s="40">
        <f>$B$12+B46/$B$7</f>
        <v>2.9627631578947371E-2</v>
      </c>
      <c r="D46" s="40">
        <f>$B$13+B46/$B$6</f>
        <v>6.5962499999999997E-3</v>
      </c>
      <c r="E46" s="2"/>
      <c r="F46" s="2"/>
      <c r="G46" s="2"/>
      <c r="H46" s="2"/>
    </row>
    <row r="47" spans="1:8">
      <c r="A47" s="40">
        <v>6.25E-2</v>
      </c>
      <c r="B47" s="41">
        <f>$G$6*(A47-$B$18)-$G$13</f>
        <v>721250</v>
      </c>
      <c r="C47" s="40">
        <f>$B$12+B47/$B$7</f>
        <v>2.9759210526315791E-2</v>
      </c>
      <c r="D47" s="40">
        <f>$B$13+B47/$B$6</f>
        <v>6.7212499999999998E-3</v>
      </c>
      <c r="E47" s="2"/>
      <c r="F47" s="2"/>
      <c r="G47" s="2"/>
      <c r="H47" s="2"/>
    </row>
    <row r="48" spans="1:8">
      <c r="A48" s="40">
        <v>6.7500000000000004E-2</v>
      </c>
      <c r="B48" s="41">
        <f>$G$6*(A48-$B$18)-$G$13</f>
        <v>846250.00000000012</v>
      </c>
      <c r="C48" s="40">
        <f>$B$12+B48/$B$7</f>
        <v>2.9890789473684211E-2</v>
      </c>
      <c r="D48" s="40">
        <f>$B$13+B48/$B$6</f>
        <v>6.8462499999999999E-3</v>
      </c>
      <c r="E48" s="2"/>
      <c r="F48" s="2"/>
      <c r="G48" s="2"/>
      <c r="H48" s="2"/>
    </row>
    <row r="49" spans="1:8">
      <c r="A49" s="2"/>
      <c r="B49" s="2"/>
      <c r="C49" s="2"/>
      <c r="D49" s="2"/>
      <c r="E49" s="2"/>
      <c r="F49" s="2"/>
      <c r="G49" s="2"/>
      <c r="H49" s="2"/>
    </row>
    <row r="50" spans="1:8" ht="135.6" customHeight="1">
      <c r="A50" s="11" t="s">
        <v>147</v>
      </c>
      <c r="B50" s="11" t="s">
        <v>135</v>
      </c>
      <c r="C50" s="11"/>
      <c r="D50" s="11"/>
      <c r="E50" s="2"/>
      <c r="F50" s="2"/>
      <c r="G50" s="2"/>
      <c r="H50" s="2"/>
    </row>
  </sheetData>
  <sheetProtection algorithmName="SHA-512" hashValue="iHYNNc91JlWoGzcehn11m4qxEGu1BY2ftRiEjO32+iQP3H87DvJ0++WEt/1oGnNwKG+6VgX4RD9z231iQucOjg==" saltValue="FPf3svbV5rvmHs3tITqlxw==" spinCount="100000" sheet="1" objects="1" scenarios="1"/>
  <mergeCells count="8">
    <mergeCell ref="A36:H36"/>
    <mergeCell ref="A37:H37"/>
    <mergeCell ref="A1:H1"/>
    <mergeCell ref="A2:H3"/>
    <mergeCell ref="A25:H25"/>
    <mergeCell ref="A26:H28"/>
    <mergeCell ref="A30:H30"/>
    <mergeCell ref="A4:C4"/>
  </mergeCells>
  <conditionalFormatting sqref="B31:B34">
    <cfRule type="expression" dxfId="1" priority="1">
      <formula>LEFT(B31,6)="Review"</formula>
    </cfRule>
    <cfRule type="expression" dxfId="0" priority="2">
      <formula>B31="OK"</formula>
    </cfRule>
  </conditionalFormatting>
  <pageMargins left="0.7" right="0.7" top="0.75" bottom="0.75" header="0.3" footer="0.3"/>
  <headerFooter>
    <oddFooter>&amp;L_x000D_&amp;1#&amp;"Aptos"&amp;10&amp;K000000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6"/>
  <sheetViews>
    <sheetView zoomScale="80" zoomScaleNormal="80" workbookViewId="0">
      <selection activeCell="I10" sqref="I10"/>
    </sheetView>
  </sheetViews>
  <sheetFormatPr defaultRowHeight="14.25"/>
  <cols>
    <col min="1" max="1" width="38" customWidth="1"/>
    <col min="2" max="2" width="20" customWidth="1"/>
    <col min="3" max="3" width="24.5" customWidth="1"/>
    <col min="4" max="4" width="20" customWidth="1"/>
    <col min="6" max="6" width="30" customWidth="1"/>
    <col min="7" max="9" width="24" customWidth="1"/>
  </cols>
  <sheetData>
    <row r="1" spans="1:11" ht="16.350000000000001" customHeight="1">
      <c r="A1" s="69" t="s">
        <v>136</v>
      </c>
      <c r="B1" s="69"/>
      <c r="C1" s="69"/>
      <c r="D1" s="69"/>
      <c r="E1" s="22"/>
      <c r="F1" s="69" t="s">
        <v>137</v>
      </c>
      <c r="G1" s="69"/>
      <c r="H1" s="69"/>
      <c r="I1" s="69"/>
      <c r="J1" s="1"/>
      <c r="K1" s="1"/>
    </row>
    <row r="2" spans="1:11" ht="17.45" customHeight="1">
      <c r="A2" s="17" t="s">
        <v>138</v>
      </c>
      <c r="B2" s="17" t="s">
        <v>139</v>
      </c>
      <c r="C2" s="17" t="s">
        <v>149</v>
      </c>
      <c r="D2" s="17" t="s">
        <v>130</v>
      </c>
      <c r="E2" s="2"/>
      <c r="F2" s="10" t="s">
        <v>140</v>
      </c>
      <c r="G2" s="10" t="s">
        <v>139</v>
      </c>
      <c r="H2" s="10" t="s">
        <v>157</v>
      </c>
      <c r="I2" s="10" t="s">
        <v>130</v>
      </c>
    </row>
    <row r="3" spans="1:11" ht="16.350000000000001" customHeight="1">
      <c r="A3" s="15" t="s">
        <v>12</v>
      </c>
      <c r="B3" s="13">
        <f>Calculator!F8</f>
        <v>0.1</v>
      </c>
      <c r="C3" s="13">
        <f>Calculator!G8</f>
        <v>0.125</v>
      </c>
      <c r="D3" s="13">
        <f>Calculator!H8</f>
        <v>2.4999999999999994E-2</v>
      </c>
      <c r="E3" s="2"/>
      <c r="F3" s="2" t="s">
        <v>15</v>
      </c>
      <c r="G3" s="14">
        <f>Calculator!F9</f>
        <v>80000000</v>
      </c>
      <c r="H3" s="14">
        <f>Calculator!G9</f>
        <v>55000000</v>
      </c>
      <c r="I3" s="14">
        <f>Calculator!H9</f>
        <v>-25000000</v>
      </c>
    </row>
    <row r="4" spans="1:11" ht="16.350000000000001" customHeight="1">
      <c r="A4" s="15" t="s">
        <v>18</v>
      </c>
      <c r="B4" s="13">
        <f>Calculator!F10</f>
        <v>0.4</v>
      </c>
      <c r="C4" s="13">
        <f>Calculator!G10</f>
        <v>0.27500000000000002</v>
      </c>
      <c r="D4" s="13">
        <f>Calculator!H10</f>
        <v>-0.125</v>
      </c>
      <c r="E4" s="2"/>
      <c r="F4" s="2" t="s">
        <v>141</v>
      </c>
      <c r="G4" s="14">
        <f>Calculator!B8-Calculator!F9</f>
        <v>120000000</v>
      </c>
      <c r="H4" s="14">
        <f>Calculator!B8-Calculator!G9</f>
        <v>145000000</v>
      </c>
      <c r="I4" s="14">
        <f>H4-G4</f>
        <v>25000000</v>
      </c>
    </row>
    <row r="5" spans="1:11" ht="16.350000000000001" customHeight="1">
      <c r="A5" s="15" t="s">
        <v>33</v>
      </c>
      <c r="B5" s="13">
        <f>Calculator!F16</f>
        <v>2.9000000000000001E-2</v>
      </c>
      <c r="C5" s="13">
        <f>Calculator!G16</f>
        <v>2.9627631578947371E-2</v>
      </c>
      <c r="D5" s="13">
        <f>Calculator!H16</f>
        <v>6.2763157894736923E-4</v>
      </c>
      <c r="E5" s="2"/>
      <c r="F5" s="2" t="s">
        <v>10</v>
      </c>
      <c r="G5" s="14">
        <f>Calculator!B8</f>
        <v>200000000</v>
      </c>
      <c r="H5" s="14">
        <f>Calculator!B8</f>
        <v>200000000</v>
      </c>
      <c r="I5" s="14">
        <f>0</f>
        <v>0</v>
      </c>
    </row>
    <row r="6" spans="1:11" ht="16.350000000000001" customHeight="1">
      <c r="A6" s="15" t="s">
        <v>36</v>
      </c>
      <c r="B6" s="13">
        <f>Calculator!F17</f>
        <v>6.0000000000000001E-3</v>
      </c>
      <c r="C6" s="13">
        <f>Calculator!G17</f>
        <v>6.5962499999999997E-3</v>
      </c>
      <c r="D6" s="13">
        <f>Calculator!H17</f>
        <v>5.9624999999999956E-4</v>
      </c>
      <c r="E6" s="2"/>
      <c r="F6" s="2"/>
      <c r="G6" s="2"/>
      <c r="H6" s="2"/>
      <c r="I6" s="2"/>
    </row>
    <row r="7" spans="1:11" ht="16.350000000000001" customHeight="1">
      <c r="A7" s="4" t="s">
        <v>21</v>
      </c>
      <c r="B7" s="14">
        <f>Calculator!F11</f>
        <v>200000000</v>
      </c>
      <c r="C7" s="14">
        <f>Calculator!G11</f>
        <v>175000000</v>
      </c>
      <c r="D7" s="14">
        <f>Calculator!H11</f>
        <v>-25000000</v>
      </c>
      <c r="E7" s="2"/>
      <c r="F7" s="2"/>
      <c r="G7" s="2"/>
      <c r="H7" s="2"/>
      <c r="I7" s="2"/>
    </row>
    <row r="8" spans="1:11" ht="16.350000000000001" customHeight="1">
      <c r="A8" s="4" t="s">
        <v>30</v>
      </c>
      <c r="B8" s="14">
        <f>Calculator!F15</f>
        <v>0</v>
      </c>
      <c r="C8" s="14">
        <f>Calculator!G15</f>
        <v>596250</v>
      </c>
      <c r="D8" s="14">
        <f>Calculator!H15</f>
        <v>596250</v>
      </c>
      <c r="E8" s="2"/>
      <c r="F8" s="2"/>
      <c r="G8" s="2"/>
      <c r="H8" s="2"/>
      <c r="I8" s="2"/>
    </row>
    <row r="9" spans="1:11" ht="16.350000000000001" customHeight="1">
      <c r="A9" s="4" t="s">
        <v>27</v>
      </c>
      <c r="B9" s="14">
        <f>Calculator!F13</f>
        <v>0</v>
      </c>
      <c r="C9" s="14">
        <f>Calculator!G13</f>
        <v>28750</v>
      </c>
      <c r="D9" s="14">
        <f>Calculator!H13</f>
        <v>28750</v>
      </c>
      <c r="E9" s="2"/>
      <c r="F9" s="2"/>
      <c r="G9" s="2"/>
      <c r="H9" s="2"/>
      <c r="I9" s="2"/>
    </row>
    <row r="10" spans="1:11" ht="16.350000000000001" customHeight="1">
      <c r="A10" s="4" t="s">
        <v>24</v>
      </c>
      <c r="B10" s="14">
        <f>Calculator!F12</f>
        <v>0</v>
      </c>
      <c r="C10" s="14">
        <f>Calculator!G12</f>
        <v>62500</v>
      </c>
      <c r="D10" s="14">
        <f>Calculator!H12</f>
        <v>62500</v>
      </c>
      <c r="E10" s="2"/>
      <c r="F10" s="2"/>
      <c r="G10" s="2"/>
      <c r="H10" s="2"/>
      <c r="I10" s="2"/>
    </row>
    <row r="11" spans="1:11">
      <c r="A11" s="2"/>
      <c r="B11" s="2"/>
      <c r="C11" s="2"/>
      <c r="D11" s="2"/>
      <c r="E11" s="2"/>
      <c r="F11" s="2"/>
      <c r="G11" s="2"/>
      <c r="H11" s="2"/>
      <c r="I11" s="2"/>
    </row>
    <row r="12" spans="1:11">
      <c r="A12" s="2"/>
      <c r="B12" s="2"/>
      <c r="C12" s="2"/>
      <c r="D12" s="2"/>
      <c r="E12" s="2"/>
      <c r="F12" s="2"/>
      <c r="G12" s="2"/>
      <c r="H12" s="2"/>
      <c r="I12" s="2"/>
    </row>
    <row r="13" spans="1:11" ht="15.75">
      <c r="A13" s="70" t="s">
        <v>142</v>
      </c>
      <c r="B13" s="70"/>
      <c r="C13" s="70"/>
      <c r="D13" s="70"/>
      <c r="E13" s="2"/>
      <c r="F13" s="70" t="s">
        <v>21</v>
      </c>
      <c r="G13" s="70"/>
      <c r="H13" s="70"/>
      <c r="I13" s="2"/>
    </row>
    <row r="14" spans="1:11" ht="18" customHeight="1">
      <c r="A14" s="10" t="s">
        <v>143</v>
      </c>
      <c r="B14" s="10" t="s">
        <v>144</v>
      </c>
      <c r="C14" s="2"/>
      <c r="D14" s="2"/>
      <c r="E14" s="2"/>
      <c r="F14" s="10" t="s">
        <v>138</v>
      </c>
      <c r="G14" s="10" t="s">
        <v>139</v>
      </c>
      <c r="H14" s="10" t="s">
        <v>157</v>
      </c>
      <c r="I14" s="2"/>
    </row>
    <row r="15" spans="1:11">
      <c r="A15" t="s">
        <v>28</v>
      </c>
      <c r="B15" s="14">
        <f>Calculator!G14</f>
        <v>625000</v>
      </c>
      <c r="C15" s="2"/>
      <c r="D15" s="2"/>
      <c r="E15" s="2"/>
      <c r="F15" s="2" t="s">
        <v>21</v>
      </c>
      <c r="G15" s="14">
        <f>Calculator!F11</f>
        <v>200000000</v>
      </c>
      <c r="H15" s="14">
        <f>Calculator!G11</f>
        <v>175000000</v>
      </c>
      <c r="I15" s="2"/>
    </row>
    <row r="16" spans="1:11">
      <c r="A16" t="s">
        <v>27</v>
      </c>
      <c r="B16" s="14">
        <f>-Calculator!G13</f>
        <v>-28750</v>
      </c>
      <c r="C16" s="2"/>
      <c r="D16" s="2"/>
      <c r="E16" s="2"/>
      <c r="F16" s="2"/>
      <c r="G16" s="2"/>
      <c r="H16" s="2"/>
      <c r="I16" s="2"/>
    </row>
    <row r="17" spans="1:9">
      <c r="A17" t="s">
        <v>30</v>
      </c>
      <c r="B17" s="14">
        <f>Calculator!G15</f>
        <v>596250</v>
      </c>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ht="15.75">
      <c r="A20" s="70" t="s">
        <v>145</v>
      </c>
      <c r="B20" s="70"/>
      <c r="C20" s="70"/>
      <c r="D20" s="70"/>
      <c r="E20" s="2"/>
      <c r="F20" s="2"/>
      <c r="G20" s="2"/>
      <c r="H20" s="2"/>
      <c r="I20" s="2"/>
    </row>
    <row r="21" spans="1:9" ht="15">
      <c r="A21" s="10" t="s">
        <v>39</v>
      </c>
      <c r="B21" s="10" t="s">
        <v>132</v>
      </c>
      <c r="C21" s="10" t="s">
        <v>133</v>
      </c>
      <c r="D21" s="10" t="s">
        <v>134</v>
      </c>
      <c r="E21" s="2"/>
      <c r="F21" s="2"/>
      <c r="G21" s="2"/>
      <c r="H21" s="2"/>
      <c r="I21" s="2"/>
    </row>
    <row r="22" spans="1:9">
      <c r="A22" s="13">
        <f>Calculator!A44</f>
        <v>4.7500000000000001E-2</v>
      </c>
      <c r="B22" s="14">
        <f>Calculator!B44</f>
        <v>346250</v>
      </c>
      <c r="C22" s="13">
        <f>Calculator!C44</f>
        <v>2.9364473684210527E-2</v>
      </c>
      <c r="D22" s="13">
        <f>Calculator!D44</f>
        <v>6.3462500000000003E-3</v>
      </c>
      <c r="E22" s="2"/>
      <c r="F22" s="2"/>
      <c r="G22" s="2"/>
      <c r="H22" s="2"/>
      <c r="I22" s="2"/>
    </row>
    <row r="23" spans="1:9">
      <c r="A23" s="13">
        <f>Calculator!A45</f>
        <v>5.2499999999999998E-2</v>
      </c>
      <c r="B23" s="14">
        <f>Calculator!B45</f>
        <v>471249.99999999994</v>
      </c>
      <c r="C23" s="13">
        <f>Calculator!C45</f>
        <v>2.9496052631578947E-2</v>
      </c>
      <c r="D23" s="13">
        <f>Calculator!D45</f>
        <v>6.4712500000000004E-3</v>
      </c>
      <c r="E23" s="2"/>
      <c r="F23" s="2"/>
      <c r="G23" s="2"/>
      <c r="H23" s="2"/>
      <c r="I23" s="2"/>
    </row>
    <row r="24" spans="1:9">
      <c r="A24" s="13">
        <f>Calculator!A46</f>
        <v>5.7500000000000002E-2</v>
      </c>
      <c r="B24" s="14">
        <f>Calculator!B46</f>
        <v>596250</v>
      </c>
      <c r="C24" s="13">
        <f>Calculator!C46</f>
        <v>2.9627631578947371E-2</v>
      </c>
      <c r="D24" s="13">
        <f>Calculator!D46</f>
        <v>6.5962499999999997E-3</v>
      </c>
      <c r="E24" s="2"/>
      <c r="F24" s="2"/>
      <c r="G24" s="2"/>
      <c r="H24" s="2"/>
      <c r="I24" s="2"/>
    </row>
    <row r="25" spans="1:9">
      <c r="A25" s="13">
        <f>Calculator!A47</f>
        <v>6.25E-2</v>
      </c>
      <c r="B25" s="14">
        <f>Calculator!B47</f>
        <v>721250</v>
      </c>
      <c r="C25" s="13">
        <f>Calculator!C47</f>
        <v>2.9759210526315791E-2</v>
      </c>
      <c r="D25" s="13">
        <f>Calculator!D47</f>
        <v>6.7212499999999998E-3</v>
      </c>
      <c r="E25" s="2"/>
      <c r="F25" s="2"/>
      <c r="G25" s="2"/>
      <c r="H25" s="2"/>
      <c r="I25" s="2"/>
    </row>
    <row r="26" spans="1:9">
      <c r="A26" s="13">
        <f>Calculator!A48</f>
        <v>6.7500000000000004E-2</v>
      </c>
      <c r="B26" s="14">
        <f>Calculator!B48</f>
        <v>846250.00000000012</v>
      </c>
      <c r="C26" s="13">
        <f>Calculator!C48</f>
        <v>2.9890789473684211E-2</v>
      </c>
      <c r="D26" s="13">
        <f>Calculator!D48</f>
        <v>6.8462499999999999E-3</v>
      </c>
      <c r="E26" s="2"/>
      <c r="F26" s="2"/>
      <c r="G26" s="2"/>
      <c r="H26" s="2"/>
      <c r="I26" s="2"/>
    </row>
  </sheetData>
  <sheetProtection algorithmName="SHA-512" hashValue="P4xtN6d5+L4EqGFGkLJpV/+Vqx1NWHqnjjMwBwizcOTNcXp4jrzSQPW/D00u9FbBGYD0UGvGd7aT/YjeeFtV3w==" saltValue="YsTR8uelaGCJ8va+hzki9Q==" spinCount="100000" sheet="1" objects="1" scenarios="1"/>
  <mergeCells count="5">
    <mergeCell ref="A1:D1"/>
    <mergeCell ref="F1:I1"/>
    <mergeCell ref="A13:D13"/>
    <mergeCell ref="F13:H13"/>
    <mergeCell ref="A20:D20"/>
  </mergeCells>
  <pageMargins left="0.7" right="0.7" top="0.75" bottom="0.75" header="0.3" footer="0.3"/>
  <headerFooter>
    <oddFooter>&amp;L_x000D_&amp;1#&amp;"Aptos"&amp;10&amp;K000000 Classification: Public</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8"/>
  <sheetViews>
    <sheetView workbookViewId="0">
      <selection activeCell="B7" sqref="B7"/>
    </sheetView>
  </sheetViews>
  <sheetFormatPr defaultRowHeight="14.25"/>
  <cols>
    <col min="1" max="1" width="30" customWidth="1"/>
    <col min="2" max="2" width="90" customWidth="1"/>
  </cols>
  <sheetData>
    <row r="1" spans="1:11" ht="16.350000000000001" customHeight="1">
      <c r="A1" s="71" t="s">
        <v>55</v>
      </c>
      <c r="B1" s="71"/>
      <c r="C1" s="71"/>
      <c r="D1" s="71"/>
      <c r="E1" s="1"/>
      <c r="F1" s="1"/>
      <c r="G1" s="1"/>
      <c r="H1" s="1"/>
      <c r="I1" s="1"/>
      <c r="J1" s="1"/>
      <c r="K1" s="1"/>
    </row>
    <row r="3" spans="1:11" ht="14.1" customHeight="1">
      <c r="A3" s="3" t="s">
        <v>56</v>
      </c>
      <c r="B3" s="3" t="s">
        <v>57</v>
      </c>
    </row>
    <row r="4" spans="1:11" ht="47.25" customHeight="1">
      <c r="A4" s="4" t="s">
        <v>58</v>
      </c>
      <c r="B4" s="2" t="s">
        <v>158</v>
      </c>
    </row>
    <row r="5" spans="1:11" ht="47.25" customHeight="1">
      <c r="A5" s="4" t="s">
        <v>59</v>
      </c>
      <c r="B5" s="2" t="s">
        <v>159</v>
      </c>
    </row>
    <row r="6" spans="1:11" ht="31.5" customHeight="1">
      <c r="A6" s="4" t="s">
        <v>60</v>
      </c>
      <c r="B6" s="2" t="s">
        <v>61</v>
      </c>
    </row>
    <row r="7" spans="1:11" ht="31.5" customHeight="1">
      <c r="A7" s="4" t="s">
        <v>62</v>
      </c>
      <c r="B7" s="2" t="s">
        <v>63</v>
      </c>
    </row>
    <row r="8" spans="1:11" ht="31.5" customHeight="1">
      <c r="A8" s="4" t="s">
        <v>64</v>
      </c>
      <c r="B8" s="2" t="s">
        <v>65</v>
      </c>
    </row>
    <row r="9" spans="1:11" ht="31.5" customHeight="1">
      <c r="A9" s="4" t="s">
        <v>66</v>
      </c>
      <c r="B9" s="2" t="s">
        <v>67</v>
      </c>
    </row>
    <row r="10" spans="1:11" ht="31.5" customHeight="1">
      <c r="A10" s="4" t="s">
        <v>68</v>
      </c>
      <c r="B10" s="2" t="s">
        <v>69</v>
      </c>
    </row>
    <row r="11" spans="1:11" ht="31.5" customHeight="1">
      <c r="A11" s="4" t="s">
        <v>70</v>
      </c>
      <c r="B11" s="2" t="s">
        <v>71</v>
      </c>
    </row>
    <row r="12" spans="1:11" ht="31.5" customHeight="1">
      <c r="A12" s="4" t="s">
        <v>72</v>
      </c>
      <c r="B12" s="2" t="s">
        <v>73</v>
      </c>
    </row>
    <row r="13" spans="1:11" ht="31.5" customHeight="1">
      <c r="A13" s="4" t="s">
        <v>74</v>
      </c>
      <c r="B13" s="2" t="s">
        <v>160</v>
      </c>
    </row>
    <row r="14" spans="1:11" ht="31.5" customHeight="1">
      <c r="A14" s="4" t="s">
        <v>75</v>
      </c>
      <c r="B14" s="2" t="s">
        <v>76</v>
      </c>
    </row>
    <row r="15" spans="1:11" ht="31.5" customHeight="1">
      <c r="A15" s="4" t="s">
        <v>77</v>
      </c>
      <c r="B15" s="2" t="s">
        <v>78</v>
      </c>
    </row>
    <row r="16" spans="1:11" ht="31.5" customHeight="1">
      <c r="A16" s="4" t="s">
        <v>79</v>
      </c>
      <c r="B16" s="2" t="s">
        <v>80</v>
      </c>
    </row>
    <row r="17" spans="1:2" ht="31.5" customHeight="1">
      <c r="A17" s="4" t="s">
        <v>81</v>
      </c>
      <c r="B17" s="2" t="s">
        <v>82</v>
      </c>
    </row>
    <row r="18" spans="1:2" ht="31.5" customHeight="1">
      <c r="A18" s="4" t="s">
        <v>83</v>
      </c>
      <c r="B18" s="2" t="s">
        <v>84</v>
      </c>
    </row>
  </sheetData>
  <sheetProtection algorithmName="SHA-512" hashValue="y4lYMfqNKZcqhBSVGD8bURrhbZusuUKpB4DXwtIhmy2/rswoIUlsyQ0h4XuyeLyr43+nMw08IXa9TglMZN/3xw==" saltValue="CV9C41RI1AF376or+BF0uw==" spinCount="100000" sheet="1" objects="1" scenarios="1"/>
  <mergeCells count="1">
    <mergeCell ref="A1:D1"/>
  </mergeCells>
  <pageMargins left="0.7" right="0.7" top="0.75" bottom="0.75" header="0.3" footer="0.3"/>
  <headerFooter>
    <oddFooter>&amp;L_x000D_&amp;1#&amp;"Aptos"&amp;10&amp;K000000 Classification: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Calculator</vt:lpstr>
      <vt:lpstr>Chart Data</vt:lpstr>
      <vt:lpstr>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McFalls</dc:creator>
  <cp:lastModifiedBy>Kelly McFalls</cp:lastModifiedBy>
  <dcterms:created xsi:type="dcterms:W3CDTF">2026-05-28T23:01:17Z</dcterms:created>
  <dcterms:modified xsi:type="dcterms:W3CDTF">2026-07-06T17:48:26Z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562fdd-1b3b-4eb6-8cab-8ccd495854db_Enabled">
    <vt:lpwstr>true</vt:lpwstr>
  </property>
  <property fmtid="{D5CDD505-2E9C-101B-9397-08002B2CF9AE}" pid="3" name="MSIP_Label_f1562fdd-1b3b-4eb6-8cab-8ccd495854db_SetDate">
    <vt:lpwstr>2026-05-28T22:57:02Z</vt:lpwstr>
  </property>
  <property fmtid="{D5CDD505-2E9C-101B-9397-08002B2CF9AE}" pid="4" name="MSIP_Label_f1562fdd-1b3b-4eb6-8cab-8ccd495854db_Method">
    <vt:lpwstr>Privileged</vt:lpwstr>
  </property>
  <property fmtid="{D5CDD505-2E9C-101B-9397-08002B2CF9AE}" pid="5" name="MSIP_Label_f1562fdd-1b3b-4eb6-8cab-8ccd495854db_Name">
    <vt:lpwstr>f1562fdd-1b3b-4eb6-8cab-8ccd495854db</vt:lpwstr>
  </property>
  <property fmtid="{D5CDD505-2E9C-101B-9397-08002B2CF9AE}" pid="6" name="MSIP_Label_f1562fdd-1b3b-4eb6-8cab-8ccd495854db_SiteId">
    <vt:lpwstr>4277c4fa-2220-43f3-857b-669253628fb3</vt:lpwstr>
  </property>
  <property fmtid="{D5CDD505-2E9C-101B-9397-08002B2CF9AE}" pid="7" name="MSIP_Label_f1562fdd-1b3b-4eb6-8cab-8ccd495854db_ActionId">
    <vt:lpwstr>161fafaa-fb41-40e1-a58d-6a957233f3d6</vt:lpwstr>
  </property>
  <property fmtid="{D5CDD505-2E9C-101B-9397-08002B2CF9AE}" pid="8" name="MSIP_Label_f1562fdd-1b3b-4eb6-8cab-8ccd495854db_ContentBits">
    <vt:lpwstr>2</vt:lpwstr>
  </property>
  <property fmtid="{D5CDD505-2E9C-101B-9397-08002B2CF9AE}" pid="9" name="MSIP_Label_f1562fdd-1b3b-4eb6-8cab-8ccd495854db_Tag">
    <vt:lpwstr>10, 0, 1, 1</vt:lpwstr>
  </property>
</Properties>
</file>